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60" windowWidth="9690" windowHeight="6345" tabRatio="625" firstSheet="2" activeTab="2"/>
  </bookViews>
  <sheets>
    <sheet name="weighted average for march 2012" sheetId="1" state="hidden" r:id="rId1"/>
    <sheet name="consolidated EPS" sheetId="2" state="hidden" r:id="rId2"/>
    <sheet name="MARCH -15 final result" sheetId="3" r:id="rId3"/>
    <sheet name="ASSETS AND LIBILITIES" sheetId="4" r:id="rId4"/>
    <sheet name="Sheet2" sheetId="5" state="hidden" r:id="rId5"/>
    <sheet name="consolidation" sheetId="6" state="hidden" r:id="rId6"/>
    <sheet name="Sheet1" sheetId="7" state="hidden" r:id="rId7"/>
  </sheets>
  <externalReferences>
    <externalReference r:id="rId10"/>
    <externalReference r:id="rId11"/>
    <externalReference r:id="rId12"/>
    <externalReference r:id="rId13"/>
  </externalReferences>
  <definedNames>
    <definedName name="Excel_BuiltIn_Print_Titles_6_1">#REF!</definedName>
    <definedName name="Excel_BuiltIn_Print_Titles_8_1">#REF!</definedName>
    <definedName name="OLE_LINK1_7">'[2]latest_revised_31_03_2009'!#REF!</definedName>
    <definedName name="OLE_LINK3_7">'[2]latest_revised_31_03_2009'!#REF!</definedName>
    <definedName name="_xlnm.Print_Area" localSheetId="5">'consolidation'!$A$1:$I$73</definedName>
  </definedNames>
  <calcPr fullCalcOnLoad="1"/>
</workbook>
</file>

<file path=xl/comments5.xml><?xml version="1.0" encoding="utf-8"?>
<comments xmlns="http://schemas.openxmlformats.org/spreadsheetml/2006/main">
  <authors>
    <author>ashok</author>
  </authors>
  <commentList>
    <comment ref="Y10" authorId="0">
      <text>
        <r>
          <rPr>
            <b/>
            <sz val="8"/>
            <rFont val="Tahoma"/>
            <family val="2"/>
          </rPr>
          <t>ashok:</t>
        </r>
        <r>
          <rPr>
            <sz val="8"/>
            <rFont val="Tahoma"/>
            <family val="2"/>
          </rPr>
          <t xml:space="preserve">
including khil sales division 24.90, vits nagpur project,
</t>
        </r>
      </text>
    </comment>
    <comment ref="Y18" authorId="0">
      <text>
        <r>
          <rPr>
            <b/>
            <sz val="8"/>
            <rFont val="Tahoma"/>
            <family val="2"/>
          </rPr>
          <t>ashok:</t>
        </r>
        <r>
          <rPr>
            <sz val="8"/>
            <rFont val="Tahoma"/>
            <family val="2"/>
          </rPr>
          <t xml:space="preserve">
including khil sales division
1.43
</t>
        </r>
      </text>
    </comment>
    <comment ref="Y61" authorId="0">
      <text>
        <r>
          <rPr>
            <b/>
            <sz val="8"/>
            <rFont val="Tahoma"/>
            <family val="2"/>
          </rPr>
          <t>ashok:</t>
        </r>
        <r>
          <rPr>
            <sz val="8"/>
            <rFont val="Tahoma"/>
            <family val="2"/>
          </rPr>
          <t xml:space="preserve">
including khil sales division 24.90, vits nagpur project,
</t>
        </r>
      </text>
    </comment>
    <comment ref="Y69" authorId="0">
      <text>
        <r>
          <rPr>
            <b/>
            <sz val="8"/>
            <rFont val="Tahoma"/>
            <family val="2"/>
          </rPr>
          <t>ashok:</t>
        </r>
        <r>
          <rPr>
            <sz val="8"/>
            <rFont val="Tahoma"/>
            <family val="2"/>
          </rPr>
          <t xml:space="preserve">
including khil sales division
1.43
</t>
        </r>
      </text>
    </comment>
    <comment ref="Y234" authorId="0">
      <text>
        <r>
          <rPr>
            <b/>
            <sz val="8"/>
            <rFont val="Tahoma"/>
            <family val="2"/>
          </rPr>
          <t>ashok:</t>
        </r>
        <r>
          <rPr>
            <sz val="8"/>
            <rFont val="Tahoma"/>
            <family val="2"/>
          </rPr>
          <t xml:space="preserve">
including khil sales division 24.90, vits nagpur project,
</t>
        </r>
      </text>
    </comment>
    <comment ref="Y242" authorId="0">
      <text>
        <r>
          <rPr>
            <b/>
            <sz val="8"/>
            <rFont val="Tahoma"/>
            <family val="2"/>
          </rPr>
          <t>ashok:</t>
        </r>
        <r>
          <rPr>
            <sz val="8"/>
            <rFont val="Tahoma"/>
            <family val="2"/>
          </rPr>
          <t xml:space="preserve">
including khil sales division
1.43
</t>
        </r>
      </text>
    </comment>
  </commentList>
</comments>
</file>

<file path=xl/sharedStrings.xml><?xml version="1.0" encoding="utf-8"?>
<sst xmlns="http://schemas.openxmlformats.org/spreadsheetml/2006/main" count="1020" uniqueCount="353">
  <si>
    <t xml:space="preserve">c) Other Long Term Liabilties </t>
  </si>
  <si>
    <t xml:space="preserve">Interest (Net) </t>
  </si>
  <si>
    <t xml:space="preserve">31st March </t>
  </si>
  <si>
    <t>Pre acquisition reserve</t>
  </si>
  <si>
    <t>VKOFR</t>
  </si>
  <si>
    <t>Capital Employed</t>
  </si>
  <si>
    <t>Less: Depreciation</t>
  </si>
  <si>
    <t>Net Block</t>
  </si>
  <si>
    <t>BWHSPL</t>
  </si>
  <si>
    <t>Non Productive Assets</t>
  </si>
  <si>
    <t>(Less): Prior Period Adjustments</t>
  </si>
  <si>
    <t>KAMAT HOTELS (INDIA) LIMITED</t>
  </si>
  <si>
    <t xml:space="preserve"> </t>
  </si>
  <si>
    <t>Income from Operations</t>
  </si>
  <si>
    <t>Other Income</t>
  </si>
  <si>
    <t>PARTICULARS</t>
  </si>
  <si>
    <t>Interest</t>
  </si>
  <si>
    <t xml:space="preserve">Operating Profit </t>
  </si>
  <si>
    <t>Total Revenue</t>
  </si>
  <si>
    <t>SR. NO.</t>
  </si>
  <si>
    <t>Regd. Office: 70-C, Nehru Road, Vile Parle (East), Mumbai 400 099.</t>
  </si>
  <si>
    <t>(a)</t>
  </si>
  <si>
    <t>(b)</t>
  </si>
  <si>
    <t>(c)</t>
  </si>
  <si>
    <t>(d)</t>
  </si>
  <si>
    <t>Staff cost</t>
  </si>
  <si>
    <t>Heat, Light &amp; power</t>
  </si>
  <si>
    <t>Other expenditure</t>
  </si>
  <si>
    <t>Food Cost</t>
  </si>
  <si>
    <t xml:space="preserve">                                           U   N  I  T  /  D  I  V  I  S  I  O  N</t>
  </si>
  <si>
    <t>(Rs. in Lakhs)</t>
  </si>
  <si>
    <t>Particulars</t>
  </si>
  <si>
    <t>Quarter Ended</t>
  </si>
  <si>
    <t>(Audited)</t>
  </si>
  <si>
    <t>Total Expenditure</t>
  </si>
  <si>
    <t xml:space="preserve"> a) Consumption of Raw Materials</t>
  </si>
  <si>
    <t xml:space="preserve"> c) Heat, Light &amp; Power</t>
  </si>
  <si>
    <t xml:space="preserve">b) Deferred Tax </t>
  </si>
  <si>
    <t>Notes:</t>
  </si>
  <si>
    <t>Place: Mumbai</t>
  </si>
  <si>
    <t>Corporate Office</t>
  </si>
  <si>
    <t>Total of All Units</t>
  </si>
  <si>
    <t xml:space="preserve">Depreciation </t>
  </si>
  <si>
    <t>Kamat Hotels (India) Limited</t>
  </si>
  <si>
    <t>(Rs. in lakhs)</t>
  </si>
  <si>
    <t>Year Ended</t>
  </si>
  <si>
    <t>Basic &amp; Diluted EPS (Rs):</t>
  </si>
  <si>
    <t>As per our report of even date</t>
  </si>
  <si>
    <t>For J. G. Verma &amp; Co.</t>
  </si>
  <si>
    <t>Chartered Accountants</t>
  </si>
  <si>
    <t>Partner</t>
  </si>
  <si>
    <t xml:space="preserve">Basic </t>
  </si>
  <si>
    <t>Diluted</t>
  </si>
  <si>
    <t>TRC- Sawantwadi</t>
  </si>
  <si>
    <t>Vithal Kamats- Secratariat</t>
  </si>
  <si>
    <t>Basic EPS = (A) / (B)</t>
  </si>
  <si>
    <t>The Company is operating only in Hospitality Services Segment.</t>
  </si>
  <si>
    <t xml:space="preserve"> d) Depreciation</t>
  </si>
  <si>
    <t>Expenditure</t>
  </si>
  <si>
    <t xml:space="preserve"> b) Employees Cost</t>
  </si>
  <si>
    <t>J. G. Verma</t>
  </si>
  <si>
    <t>a) Before Extraordinary items</t>
  </si>
  <si>
    <t>b) After Extraordinary items</t>
  </si>
  <si>
    <t>a) Net Sales/Income from Operations</t>
  </si>
  <si>
    <t>b) Other Operating Income</t>
  </si>
  <si>
    <t>Profit before Interest and Exceptional Items [3+4]</t>
  </si>
  <si>
    <t>Paid-up equity Share Capital (Face value of Equity Share Rs.10/- each)</t>
  </si>
  <si>
    <t>Reserves Excluding Revaluation Reserves as per balance sheet of previous accounting year</t>
  </si>
  <si>
    <t>Add: Deferred Tax Asset on Initial adoption</t>
  </si>
  <si>
    <t>Add: Deferred Tax Asset on initial adoption</t>
  </si>
  <si>
    <t>Profit from Operations before Other Income, Interest and Exceptional Items [1-2]</t>
  </si>
  <si>
    <t>Other Operating Income</t>
  </si>
  <si>
    <t>Total Income</t>
  </si>
  <si>
    <t>Earnings Per Share (EPS)</t>
  </si>
  <si>
    <t>Public shareholdings:                                                                           -Number of Shares                                                                              -Percentage of Shareholding</t>
  </si>
  <si>
    <t xml:space="preserve"> e) Other Expenditure </t>
  </si>
  <si>
    <t>(Unaudited)</t>
  </si>
  <si>
    <t>Date: 30th May , 2009</t>
  </si>
  <si>
    <t>AUDITED FINANCIAL RESULTS  FOR THE  YEAR ENDED 31ST MARCH , 2009..</t>
  </si>
  <si>
    <t>The Financial results of the quarter and year ended 31st March, 2009 were adversely affected due to general downturn of the economy and terror attack on 26th November, 2008 in Mumbai.</t>
  </si>
  <si>
    <t>There were no unresolved investors complaints at the begining of the quarter. Further, during the quarter ended  March, 2009,  the company received 6 investor complaints. All the complaints have been suitably disposed off and no unresolved complaint is pending as on 31st March , 2009.</t>
  </si>
  <si>
    <t>Previous quarter and Financial year figures have been regrouped/rearranged, wherever necessary.</t>
  </si>
  <si>
    <t>Year ended   31.03.2009</t>
  </si>
  <si>
    <r>
      <t>Subsidiaries: (a) Concept Hospitality Limited ceased to be subsidiary of the Company with effect from 13</t>
    </r>
    <r>
      <rPr>
        <vertAlign val="superscript"/>
        <sz val="14"/>
        <rFont val="Arial"/>
        <family val="2"/>
      </rPr>
      <t>th</t>
    </r>
    <r>
      <rPr>
        <sz val="14"/>
        <rFont val="Arial"/>
        <family val="2"/>
      </rPr>
      <t xml:space="preserve"> March, 2009 on disposal of the entire shareholding of the Company in the said company; (b) B W Highway Star Private Limited became a subsidiary of the Company after the close of the accounting period, i.e. on 21</t>
    </r>
    <r>
      <rPr>
        <vertAlign val="superscript"/>
        <sz val="14"/>
        <rFont val="Arial"/>
        <family val="2"/>
      </rPr>
      <t>st</t>
    </r>
    <r>
      <rPr>
        <sz val="14"/>
        <rFont val="Arial"/>
        <family val="2"/>
      </rPr>
      <t xml:space="preserve"> May, 2009.</t>
    </r>
  </si>
  <si>
    <r>
      <t>The above results have been extracted from the audited accounts for the year ended 31</t>
    </r>
    <r>
      <rPr>
        <vertAlign val="superscript"/>
        <sz val="14"/>
        <rFont val="Arial"/>
        <family val="2"/>
      </rPr>
      <t>st</t>
    </r>
    <r>
      <rPr>
        <sz val="14"/>
        <rFont val="Arial"/>
        <family val="2"/>
      </rPr>
      <t xml:space="preserve"> March, 2009 and reviewed by the Audit Committee and were approved by the Board of Directors at its meeting held on 30</t>
    </r>
    <r>
      <rPr>
        <vertAlign val="superscript"/>
        <sz val="14"/>
        <rFont val="Arial"/>
        <family val="2"/>
      </rPr>
      <t>th</t>
    </r>
    <r>
      <rPr>
        <sz val="14"/>
        <rFont val="Arial"/>
        <family val="2"/>
      </rPr>
      <t xml:space="preserve"> May, 2009.</t>
    </r>
  </si>
  <si>
    <t>Extra Ordinary items for the  Year ended 31st March , 2009 represent Luxury Tax paid on completion of Assessment amounting to Rs. 171. 71 lakhs for the year 2004-05 paid by the Company and charged to revenue during the year , which has become refundable as a result of a Government Notification dated 18th November, 2008.</t>
  </si>
  <si>
    <t>a) Current Tax (MAT)</t>
  </si>
  <si>
    <t>Mumbai : 30th May , 2009</t>
  </si>
  <si>
    <r>
      <t>The Company has opted for accounting the exchange differences arising on reporting of long term foreign currency monetary items in line with Companies (Accounting Standards) Amendment Rules 2009 on Accounting Standard11(AS-11) notified by Government of India on March 31, 2009. Accordingly the effect of exchange differences on foreign currency loans is accounted by addition or deduction to the cost of the assets so far it relates to depreciable capital assets and in other cases by transfer to “Foreign Currency Monetary Items Translation Difference Account” {“FCMITD Account”} to be amortized as provided in the aforesaid Notification. Exchange difference of Rs. 202.58 lakhs recognized in the Profit and Loss Account in the previous year ended March 31, 2008 relating to said long term liabilities in foreign currency has been adjusted against opening general reserve as provided in the aforesaid Notification. The Company has reversed such foreign exchange revaluation loss of Rs. 1,448.44 lakhs, which was charged to Profit and Loss Account during the first three quarters of financial year 2008-09 as an exceptional item. As a result of this change, profit before exceptional items for the quarter and year ended March 31, 2009 is higher by Rs.1838.12 lakhs and Rs. 57.49 lakhs respectively with corresponding increase in carrying cost of concerned depreciable assets and “FCMITD Account”.  The Company has amortized Rs. 17.89 lakhs in the quarter ended 31</t>
    </r>
    <r>
      <rPr>
        <vertAlign val="superscript"/>
        <sz val="14"/>
        <rFont val="Arial"/>
        <family val="2"/>
      </rPr>
      <t>st</t>
    </r>
    <r>
      <rPr>
        <sz val="14"/>
        <rFont val="Arial"/>
        <family val="2"/>
      </rPr>
      <t xml:space="preserve"> March, 2009 and balance unamortized amount of Rs. 35.78 lakhs in the “FCMITD Account”” has been carried forward to be amortised in subsequent periods as per the Notification.</t>
    </r>
  </si>
  <si>
    <t>Notes in Separate file</t>
  </si>
  <si>
    <t>VITS, NAGPUR</t>
  </si>
  <si>
    <t>free</t>
  </si>
  <si>
    <t>Less: Extraordinary items (Net of tax expense)</t>
  </si>
  <si>
    <t>The ORCHID, Mumbai</t>
  </si>
  <si>
    <t>(Rs. In lakhs)</t>
  </si>
  <si>
    <t>Profit after tax &amp; before extra ordinary items                                    (A)</t>
  </si>
  <si>
    <t>Less: Tax Expense:</t>
  </si>
  <si>
    <t>c) Wealth Tax</t>
  </si>
  <si>
    <t xml:space="preserve">Promoters and promoters group shareholding                                                                      </t>
  </si>
  <si>
    <t xml:space="preserve">a) Pledged/Encumbered                                                                                            -Number of shares,                                              </t>
  </si>
  <si>
    <t xml:space="preserve">-Percentage of shares (as a % of the total share               holding of promoter and promoter group) </t>
  </si>
  <si>
    <t xml:space="preserve">-Percentage of shares (as a % of the total share capital of the Company)                                               </t>
  </si>
  <si>
    <t xml:space="preserve">b) Non Encumbered                                                                               </t>
  </si>
  <si>
    <t>-Number of shares,</t>
  </si>
  <si>
    <t xml:space="preserve">-Percentage of shares (as a % of the total share            holding of promoter and promoter group)                     </t>
  </si>
  <si>
    <t>Fort mahodhadhi Palace, Puri, Orissa</t>
  </si>
  <si>
    <t>Vithal Kamats-Dhauli, Orissa</t>
  </si>
  <si>
    <t>Vithal Kamats-Konark , Orissa</t>
  </si>
  <si>
    <t xml:space="preserve">VITS- Corporate Office </t>
  </si>
  <si>
    <t>Exceptional Items</t>
  </si>
  <si>
    <t xml:space="preserve">  </t>
  </si>
  <si>
    <t>Details of equity shares of Kamat Hotels (India) Ltd</t>
  </si>
  <si>
    <t>total no of shares</t>
  </si>
  <si>
    <t>with public</t>
  </si>
  <si>
    <t>with promoter and promoter group</t>
  </si>
  <si>
    <t>pledged</t>
  </si>
  <si>
    <t>Nil</t>
  </si>
  <si>
    <t>Quarter ended 30.09.2010</t>
  </si>
  <si>
    <t>No of days</t>
  </si>
  <si>
    <t>No of Shares</t>
  </si>
  <si>
    <t>Product</t>
  </si>
  <si>
    <t>Accounting Period</t>
  </si>
  <si>
    <t>Weighted Average no of shares for calculation of Basic EPS</t>
  </si>
  <si>
    <t>Weighted Average no of shares for calculation of  Diluted EPS</t>
  </si>
  <si>
    <t xml:space="preserve">Addl. Equity Shares on Conversion of </t>
  </si>
  <si>
    <t>Potential Shares</t>
  </si>
  <si>
    <t>Diluted no of shares for 3 Months</t>
  </si>
  <si>
    <t>Profit after tax &amp; extra ordinary items            (A)</t>
  </si>
  <si>
    <t>Weighted average no of shares for Basic EPS as per woking (B)</t>
  </si>
  <si>
    <t>Calculation of  BASIC EPS.</t>
  </si>
  <si>
    <t>Calculation of  DILUTED  EPS.</t>
  </si>
  <si>
    <t>Weighted average no of shares for Diluted EPS as per woking (B)</t>
  </si>
  <si>
    <t xml:space="preserve">FCCB Interest Debited to P&amp;L </t>
  </si>
  <si>
    <t>Less: Tax effect 30.90% on FCCB Interest</t>
  </si>
  <si>
    <t>Net Interest to add back</t>
  </si>
  <si>
    <t xml:space="preserve">Profit after tax &amp; extra ordinary items           </t>
  </si>
  <si>
    <t>Diluted EPS = (A) / (B)</t>
  </si>
  <si>
    <t xml:space="preserve">Profit after tax &amp; before extra ordinary items                                   </t>
  </si>
  <si>
    <t>Profit available for Distribution on Diluted Basis  (A)</t>
  </si>
  <si>
    <t xml:space="preserve">Vithal Kamats - Cuttack </t>
  </si>
  <si>
    <t>Gross Block</t>
  </si>
  <si>
    <t>Less: Minority Interest</t>
  </si>
  <si>
    <t xml:space="preserve">                            51,81,108                                     34.45%</t>
  </si>
  <si>
    <t>(Converted)</t>
  </si>
  <si>
    <t>*</t>
  </si>
  <si>
    <t>Add:Prior Period Income/Adjustment Income</t>
  </si>
  <si>
    <t>Add:Earlier Year/Prior Period Income</t>
  </si>
  <si>
    <t>Less:Earlier Year/Prior Period Expenses</t>
  </si>
  <si>
    <t xml:space="preserve">Profit/(Loss) before Tax </t>
  </si>
  <si>
    <t>FCCB' (USD 1,80,00,000*44.22/135  )  (-) Already Converted</t>
  </si>
  <si>
    <t xml:space="preserve">Existing no of shares </t>
  </si>
  <si>
    <t>(Including additional shares of 1843810 issued to FCCB)</t>
  </si>
  <si>
    <t>THREE MONTHS</t>
  </si>
  <si>
    <t>VITS, MUMBAI</t>
  </si>
  <si>
    <t>VITS-Nashik</t>
  </si>
  <si>
    <t>Time Share Division</t>
  </si>
  <si>
    <t>Fort- Jadhav Gadh, Pune</t>
  </si>
  <si>
    <t>Lotus Resort  Ramchandi, (Eco Village) Orissa</t>
  </si>
  <si>
    <t>Standalone</t>
  </si>
  <si>
    <t xml:space="preserve">Add: Exceptional items </t>
  </si>
  <si>
    <t>Consolidated</t>
  </si>
  <si>
    <t>31st March , 2011</t>
  </si>
  <si>
    <t>Sr.No.</t>
  </si>
  <si>
    <t>EBIDTA</t>
  </si>
  <si>
    <t>Total of (a) to (d)</t>
  </si>
  <si>
    <t>d) MAT Credit Entitlement</t>
  </si>
  <si>
    <t xml:space="preserve">                            52,66,007                                     35.01%</t>
  </si>
  <si>
    <t>Add: Potential shares from 01.07.2011 to 30.09.2011</t>
  </si>
  <si>
    <t>Add: Potential shares from 01.04.2011 to 30.09.2011</t>
  </si>
  <si>
    <t>Quarter ended 30.09.2011</t>
  </si>
  <si>
    <t>Sr. No.</t>
  </si>
  <si>
    <t>30th Sep , 2011</t>
  </si>
  <si>
    <t>30th Sep , 2010</t>
  </si>
  <si>
    <t xml:space="preserve">                            51,69,908                                     34.37%</t>
  </si>
  <si>
    <t>Profit/(Loss) before Interest [7-8]</t>
  </si>
  <si>
    <t>Haly Year Ended</t>
  </si>
  <si>
    <t>Add: Minority Interest</t>
  </si>
  <si>
    <t>30th Jun, 2011</t>
  </si>
  <si>
    <t>30th Jun, 2010</t>
  </si>
  <si>
    <t>Add: ADJUSTMENT FOR PRE ACQUISITION RESERVES</t>
  </si>
  <si>
    <t xml:space="preserve">                            34,22,197                                     25.93%</t>
  </si>
  <si>
    <t>31st March, 2011</t>
  </si>
  <si>
    <t>Profit/(Loss) after Interest but before Exceptional Items [5-6]</t>
  </si>
  <si>
    <t>Profit/(Loss) from Ordinary Activities  before Tax (7+8)</t>
  </si>
  <si>
    <t>Net Profit/(Loss) from Ordinary Activities after Tax  [9-10]</t>
  </si>
  <si>
    <t>Net Profit/(Loss) for the period [11-12]</t>
  </si>
  <si>
    <t>Group Profit/(Loss) for the period [13+14+15+16]</t>
  </si>
  <si>
    <t>01.10.2011 to 31.03.12</t>
  </si>
  <si>
    <t>No of shares for the half year ended 31st March 2011</t>
  </si>
  <si>
    <t>Additional shares issued from  01.12.2011 to 31.03.2012</t>
  </si>
  <si>
    <t>4052190 issued to FCCB</t>
  </si>
  <si>
    <t>01.04.2011 to 31.03.12</t>
  </si>
  <si>
    <t>No of shares for 12 months for after conversion</t>
  </si>
  <si>
    <t>31st Dec.</t>
  </si>
  <si>
    <t>Nine Months Ended</t>
  </si>
  <si>
    <t>Unaudited Financial Results for the quarter  ended 31.12.2011.</t>
  </si>
  <si>
    <t>Existing no of shares from 01.10.2011 to 31.12.2011</t>
  </si>
  <si>
    <t>HP-Orchid Expansion</t>
  </si>
  <si>
    <t>tax</t>
  </si>
  <si>
    <t>Vithal Kamats - Satpada</t>
  </si>
  <si>
    <t>profit of sakes div.</t>
  </si>
  <si>
    <t>Q3</t>
  </si>
  <si>
    <t>Add: Profit (Loss) on Sale/Discard of Assets</t>
  </si>
  <si>
    <t>UNAUDITED CONSOLIDATED FINANCIAL RESULTS  FOR THE QUARTER AND NINE MONTHS PERIOD ENDED 31ST DECEMBER, 2011</t>
  </si>
  <si>
    <t>UNAUDITED FINANCIAL RESULTS :</t>
  </si>
  <si>
    <t>Q1</t>
  </si>
  <si>
    <t>Q2</t>
  </si>
  <si>
    <t>TOTAL FOR 9 MONTHS</t>
  </si>
  <si>
    <t>TURNOVER</t>
  </si>
  <si>
    <t>Year  ended 31.03.2012</t>
  </si>
  <si>
    <t>Consolidated Audited Financial Results for year ended 31.03.2012</t>
  </si>
  <si>
    <t>Lotus Beach Resort  -GOA</t>
  </si>
  <si>
    <t>Vithal Kamats - Kudal</t>
  </si>
  <si>
    <t>Vithal Kamats - Nashik</t>
  </si>
  <si>
    <t>Vithal Kamats - Panvel</t>
  </si>
  <si>
    <t>Vithal Kamats - Pride India- Manor</t>
  </si>
  <si>
    <t>Vithal Kamats - TREEO- Manor</t>
  </si>
  <si>
    <t>PART-I</t>
  </si>
  <si>
    <t>Expenses</t>
  </si>
  <si>
    <t xml:space="preserve"> a) Consumption of Food &amp; Beverages</t>
  </si>
  <si>
    <t>Total Expenses</t>
  </si>
  <si>
    <t>Profit/(Loss) from Operations before Other Income, Finance Costs and Exceptional Items [1-2]</t>
  </si>
  <si>
    <t>Profit/(Loss) from ordinary activities before Finance Costs and Exceptional Items [3+4]</t>
  </si>
  <si>
    <t>Profit/(Loss) from ordinary activities after Finance Costs but before Exceptional Items [5-6]</t>
  </si>
  <si>
    <t>Before Extraordinary items</t>
  </si>
  <si>
    <t>i)</t>
  </si>
  <si>
    <t>ii)</t>
  </si>
  <si>
    <t>After Extraordinary items</t>
  </si>
  <si>
    <t>PART-II</t>
  </si>
  <si>
    <t>A</t>
  </si>
  <si>
    <t>PARTICULARS OF SHARE HOLDING:</t>
  </si>
  <si>
    <t>B</t>
  </si>
  <si>
    <t>INVESTOR COMPLAINTS:</t>
  </si>
  <si>
    <t>Pending at the beginning of the Quarter</t>
  </si>
  <si>
    <t>Received during the quarter</t>
  </si>
  <si>
    <t>Disposed off during the quarter</t>
  </si>
  <si>
    <t>Remaining unresolved at the end of the quarter</t>
  </si>
  <si>
    <t>(Less): Prior Period Adjustments [Note 3(b)]</t>
  </si>
  <si>
    <t>Interest on Capital Employed -WDV of Fixed Assets</t>
  </si>
  <si>
    <t xml:space="preserve">Nil </t>
  </si>
  <si>
    <t>Vithal Kamats - Sanpada</t>
  </si>
  <si>
    <t>Vithal Kamats - Wagunde-Budrak</t>
  </si>
  <si>
    <t>VKOFR-Frenchise</t>
  </si>
  <si>
    <t>The ORCHID Mumbai</t>
  </si>
  <si>
    <t>Operating Profit/(Loss)</t>
  </si>
  <si>
    <t>Vithal Kamats Purchase Services</t>
  </si>
  <si>
    <t xml:space="preserve">Non Productive Assets </t>
  </si>
  <si>
    <t>OHPPL</t>
  </si>
  <si>
    <t>Prior peroid Adjustments</t>
  </si>
  <si>
    <t xml:space="preserve"> e) Other Expenses </t>
  </si>
  <si>
    <t>Profit/(Loss) from Ordinary Activities  before Tax [7+8]</t>
  </si>
  <si>
    <t>Group Profit/(Loss) for the period [13-14]</t>
  </si>
  <si>
    <t xml:space="preserve">(Less): Prior Period Adjustments </t>
  </si>
  <si>
    <t xml:space="preserve"> b) Employees Benefits Expense</t>
  </si>
  <si>
    <t>DATE</t>
  </si>
  <si>
    <t>TIME</t>
  </si>
  <si>
    <t>2</t>
  </si>
  <si>
    <t xml:space="preserve">STANDALONE  STATEMENT OF ASSETS AND LIABILITIES </t>
  </si>
  <si>
    <t>As At</t>
  </si>
  <si>
    <t>(A)</t>
  </si>
  <si>
    <t>EQUITY AND LIABILITIES:</t>
  </si>
  <si>
    <t>Shareholders Funds:</t>
  </si>
  <si>
    <t>a) Share Capital</t>
  </si>
  <si>
    <t>b) Reserves and Surplus</t>
  </si>
  <si>
    <t>Sub Total of ShareHolders Funds</t>
  </si>
  <si>
    <t>Minority Interest</t>
  </si>
  <si>
    <t>Non - Current Liabilities:</t>
  </si>
  <si>
    <t>d) Long- Term Provisions</t>
  </si>
  <si>
    <t>Current Liabilties</t>
  </si>
  <si>
    <t>Foreign Currency Monetary Item Translation Difference Account</t>
  </si>
  <si>
    <t>a) Short -Term Borrowings</t>
  </si>
  <si>
    <t>b) Trade Payables</t>
  </si>
  <si>
    <t>d) Short- Term Provisions</t>
  </si>
  <si>
    <t>(B)</t>
  </si>
  <si>
    <t>ASSETS:</t>
  </si>
  <si>
    <t>Non- Current Assets:</t>
  </si>
  <si>
    <t>a) Fixed Assets</t>
  </si>
  <si>
    <t>Sub Total of Non- Current Assets</t>
  </si>
  <si>
    <t>Current Assets</t>
  </si>
  <si>
    <t>a) Current Investments</t>
  </si>
  <si>
    <t>b) Inventories</t>
  </si>
  <si>
    <t>c) Trade Receivables</t>
  </si>
  <si>
    <t>d) Cash and Bank Balances</t>
  </si>
  <si>
    <t>e) Short-Term Loans and Advances</t>
  </si>
  <si>
    <t>f) Other Current Assets</t>
  </si>
  <si>
    <t>Sub Total of Current Assets</t>
  </si>
  <si>
    <t>TOTAL</t>
  </si>
  <si>
    <t>Contd..4..</t>
  </si>
  <si>
    <t>As  At</t>
  </si>
  <si>
    <t>a) Net Sales/Income from Operations (Net of Excise Duty)</t>
  </si>
  <si>
    <t>As per Result</t>
  </si>
  <si>
    <t>98,71,296</t>
  </si>
  <si>
    <t>31st March 2014</t>
  </si>
  <si>
    <t>44,90,664</t>
  </si>
  <si>
    <t xml:space="preserve">                            92,22,098                                     39.10%</t>
  </si>
  <si>
    <t xml:space="preserve">CIN: L55101MH1986PLC039307, Tel. No. 022 26164000 </t>
  </si>
  <si>
    <r>
      <t xml:space="preserve">Website: </t>
    </r>
    <r>
      <rPr>
        <u val="single"/>
        <sz val="11"/>
        <rFont val="Arial"/>
        <family val="2"/>
      </rPr>
      <t>www.khil.com</t>
    </r>
    <r>
      <rPr>
        <sz val="11"/>
        <rFont val="Arial"/>
        <family val="2"/>
      </rPr>
      <t>, Email:cs@khil.com</t>
    </r>
  </si>
  <si>
    <r>
      <t xml:space="preserve">Website: </t>
    </r>
    <r>
      <rPr>
        <u val="single"/>
        <sz val="9"/>
        <rFont val="Arial"/>
        <family val="2"/>
      </rPr>
      <t>www.khil.com</t>
    </r>
    <r>
      <rPr>
        <sz val="9"/>
        <rFont val="Arial"/>
        <family val="2"/>
      </rPr>
      <t>, Email:cs@khil.com</t>
    </r>
  </si>
  <si>
    <t>Fort Mahodhadhi Palace, Puri, Orissa</t>
  </si>
  <si>
    <r>
      <t>(</t>
    </r>
    <r>
      <rPr>
        <b/>
        <sz val="10"/>
        <rFont val="Rupee Foradian"/>
        <family val="2"/>
      </rPr>
      <t>`</t>
    </r>
    <r>
      <rPr>
        <b/>
        <sz val="10"/>
        <rFont val="Arial"/>
        <family val="2"/>
      </rPr>
      <t xml:space="preserve"> In Lakhs)</t>
    </r>
  </si>
  <si>
    <t xml:space="preserve">Share Application Money Pending Allotment </t>
  </si>
  <si>
    <t>TOTAL - EQUITY AND LIABILITIES</t>
  </si>
  <si>
    <t>Sub Total of Non Current LiabiIities</t>
  </si>
  <si>
    <t>Sub Total of Current Liabilities</t>
  </si>
  <si>
    <t>SIX MONTHS</t>
  </si>
  <si>
    <t>d) Long- Term Loans And Advances</t>
  </si>
  <si>
    <t>e) Other Non-Current Assets</t>
  </si>
  <si>
    <t>c) Deferred Tax (Asset) (Net)</t>
  </si>
  <si>
    <t>b) Deferred Tax Liabilities  (Net)</t>
  </si>
  <si>
    <t>UNAUDITED FINANCIAL RESULTS FOR THE HALF YEAR ENDED 30.09.2014</t>
  </si>
  <si>
    <t>NINE MONTHS</t>
  </si>
  <si>
    <t>UNAUDITED FINANCIAL RESULTS FOR THE NINE MONTHS PERIOD ENDED 31.12.2014</t>
  </si>
  <si>
    <t>UNAUDITED FINANCIAL RESULTS FOR THE QUARTER   ENDED 31.12.2014</t>
  </si>
  <si>
    <t>ok</t>
  </si>
  <si>
    <t>OK</t>
  </si>
  <si>
    <t>%age</t>
  </si>
  <si>
    <t>VITS , Mumbai</t>
  </si>
  <si>
    <t>Finance Costs (Note 5)</t>
  </si>
  <si>
    <t>STATEMENT OF STANDALONE AND CONSOLIDATED UNAUDITED/AUDITED FINANCIAL RESULTS  FOR THE  QUARTER AND YEAR ENDED 31ST MARCH, 2015</t>
  </si>
  <si>
    <t>3 Months Ended  31st  March, 2015</t>
  </si>
  <si>
    <t>31st March 2015</t>
  </si>
  <si>
    <t xml:space="preserve"> d) Depreciation and Amortisation Expense (Note 4)</t>
  </si>
  <si>
    <t>Add:/Less: Tax Expense (Including Deferred Tax and adjustments for previous years')</t>
  </si>
  <si>
    <t>a) Long-Term Borrowings (Refer Note 5)</t>
  </si>
  <si>
    <t>c) Other Current Liabilities (Refer Note 5)</t>
  </si>
  <si>
    <t xml:space="preserve">Add/Less: Exceptional items(Net) </t>
  </si>
  <si>
    <t xml:space="preserve">Other Income </t>
  </si>
  <si>
    <t>(Audited) (Note 2)</t>
  </si>
  <si>
    <t>b) Non- Current Investments (Refer Note 7)</t>
  </si>
  <si>
    <r>
      <t>1.</t>
    </r>
    <r>
      <rPr>
        <sz val="7"/>
        <rFont val="Times New Roman"/>
        <family val="1"/>
      </rPr>
      <t xml:space="preserve">       </t>
    </r>
    <r>
      <rPr>
        <sz val="9"/>
        <rFont val="Arial"/>
        <family val="2"/>
      </rPr>
      <t>The above results have been reviewed by the Audit Committee and approved by the Board of Directors at the meeting held on 30</t>
    </r>
    <r>
      <rPr>
        <vertAlign val="superscript"/>
        <sz val="9"/>
        <rFont val="Arial"/>
        <family val="2"/>
      </rPr>
      <t xml:space="preserve">th </t>
    </r>
    <r>
      <rPr>
        <sz val="9"/>
        <rFont val="Arial"/>
        <family val="2"/>
      </rPr>
      <t xml:space="preserve">May, 2015. </t>
    </r>
  </si>
  <si>
    <r>
      <t>2.</t>
    </r>
    <r>
      <rPr>
        <sz val="7"/>
        <rFont val="Times New Roman"/>
        <family val="1"/>
      </rPr>
      <t xml:space="preserve">       </t>
    </r>
    <r>
      <rPr>
        <sz val="9"/>
        <rFont val="Arial"/>
        <family val="2"/>
      </rPr>
      <t>The figures of the last quarters ended 31st March, 2015 and 31st March, 2014 are the balancing figures between audited figures in  respect of full financial year and published year-to-date figures upto the third quarter of the respective financial year.</t>
    </r>
  </si>
  <si>
    <r>
      <t>3.</t>
    </r>
    <r>
      <rPr>
        <sz val="7"/>
        <rFont val="Times New Roman"/>
        <family val="1"/>
      </rPr>
      <t xml:space="preserve">       </t>
    </r>
    <r>
      <rPr>
        <sz val="9"/>
        <rFont val="Arial"/>
        <family val="2"/>
      </rPr>
      <t>The Company is operating only in the Hospitality Services Segment.</t>
    </r>
  </si>
  <si>
    <r>
      <t>4.</t>
    </r>
    <r>
      <rPr>
        <sz val="7"/>
        <rFont val="Times New Roman"/>
        <family val="1"/>
      </rPr>
      <t xml:space="preserve">       </t>
    </r>
    <r>
      <rPr>
        <sz val="9"/>
        <rFont val="Arial"/>
        <family val="2"/>
      </rPr>
      <t xml:space="preserve">Pursuant to the Companies Act, 2013 (the Act) becoming effective from April, 2014, the Company has recomputed the depreciation based on the useful life of the fixed assets as prescribed in Schedule II to the Act. This has resulted in additional charge of depreciation of </t>
    </r>
    <r>
      <rPr>
        <sz val="9"/>
        <rFont val="Rupee Foradian"/>
        <family val="2"/>
      </rPr>
      <t xml:space="preserve">` </t>
    </r>
    <r>
      <rPr>
        <sz val="9"/>
        <rFont val="Arial"/>
        <family val="2"/>
      </rPr>
      <t>36.71</t>
    </r>
    <r>
      <rPr>
        <sz val="9"/>
        <rFont val="Rupee Foradian"/>
        <family val="2"/>
      </rPr>
      <t xml:space="preserve"> </t>
    </r>
    <r>
      <rPr>
        <sz val="9"/>
        <rFont val="Arial"/>
        <family val="2"/>
      </rPr>
      <t>lakhs</t>
    </r>
    <r>
      <rPr>
        <sz val="9"/>
        <rFont val="Rupee Foradian"/>
        <family val="2"/>
      </rPr>
      <t xml:space="preserve"> and ` </t>
    </r>
    <r>
      <rPr>
        <sz val="9"/>
        <rFont val="Arial"/>
        <family val="2"/>
      </rPr>
      <t>150.78 lakhs for the quarter and year ended 31</t>
    </r>
    <r>
      <rPr>
        <vertAlign val="superscript"/>
        <sz val="9"/>
        <rFont val="Arial"/>
        <family val="2"/>
      </rPr>
      <t>st</t>
    </r>
    <r>
      <rPr>
        <sz val="9"/>
        <rFont val="Arial"/>
        <family val="2"/>
      </rPr>
      <t xml:space="preserve"> March , 2015 respectively. Further based on transitional provisions in Schedule II, additional depreciation of Rs.516.25 lakhs in respect of assets whose useful lives is over has been adjusted in the opening retained earnings (net of tax) </t>
    </r>
  </si>
  <si>
    <r>
      <t>5.</t>
    </r>
    <r>
      <rPr>
        <sz val="7"/>
        <rFont val="Times New Roman"/>
        <family val="1"/>
      </rPr>
      <t xml:space="preserve">       </t>
    </r>
    <r>
      <rPr>
        <sz val="9"/>
        <rFont val="Arial"/>
        <family val="2"/>
      </rPr>
      <t>During the year, the lenders withdrew from the CDR Scheme sanctioned by the Corporate Debt Restructuring Empowered Group in 2013 in respect of restructured debts of Rs. 33,636.36 lakhs, the lenders also recalled their entire dues during the year. Some of the lenders assigned their respective loans aggregating to Rs. 25,199.38  lakhs to asset reconstruction companies till date. In respect of loans from two lenders, no provision for interest aggregating to Rs. 530.03 lakhs has been made for the year ended 31</t>
    </r>
    <r>
      <rPr>
        <vertAlign val="superscript"/>
        <sz val="9"/>
        <rFont val="Arial"/>
        <family val="2"/>
      </rPr>
      <t>st</t>
    </r>
    <r>
      <rPr>
        <sz val="9"/>
        <rFont val="Arial"/>
        <family val="2"/>
      </rPr>
      <t xml:space="preserve"> March, 2015 as the Company has not accepted their claims and matter is disputed. Borrowings to the extent of Rs.22,147.82 lakhs are subject to confirmation from respective lenders. Finance cost for the year ended 31</t>
    </r>
    <r>
      <rPr>
        <vertAlign val="superscript"/>
        <sz val="9"/>
        <rFont val="Arial"/>
        <family val="2"/>
      </rPr>
      <t>st</t>
    </r>
    <r>
      <rPr>
        <sz val="9"/>
        <rFont val="Arial"/>
        <family val="2"/>
      </rPr>
      <t xml:space="preserve"> March, 2015 include Rs. 1,085.61 lakhs pertaining to earlier years due to withdrawal of CDR scheme. The statutory auditors have invited attention to the above note in their report for the year ended 31</t>
    </r>
    <r>
      <rPr>
        <vertAlign val="superscript"/>
        <sz val="9"/>
        <rFont val="Arial"/>
        <family val="2"/>
      </rPr>
      <t>st</t>
    </r>
    <r>
      <rPr>
        <sz val="9"/>
        <rFont val="Arial"/>
        <family val="2"/>
      </rPr>
      <t xml:space="preserve"> March, 2015. </t>
    </r>
  </si>
  <si>
    <r>
      <t>6.</t>
    </r>
    <r>
      <rPr>
        <sz val="7"/>
        <rFont val="Times New Roman"/>
        <family val="1"/>
      </rPr>
      <t xml:space="preserve">       </t>
    </r>
    <r>
      <rPr>
        <sz val="9"/>
        <rFont val="Arial"/>
        <family val="2"/>
      </rPr>
      <t>Company’s accumulated losses are in excess of its paid up capital and reserves and surplus. As explained in Note 5, some of the lenders have recalled their loans. However, considering the future business prospects, the fact that some lenders have assigned their loans and major part of the loans has been restructured and that the fair values of the assets of the Company are far more than the debts, the financial statements have been prepared on a going concern basis.</t>
    </r>
  </si>
  <si>
    <r>
      <t>7.</t>
    </r>
    <r>
      <rPr>
        <sz val="7"/>
        <rFont val="Times New Roman"/>
        <family val="1"/>
      </rPr>
      <t xml:space="preserve">       </t>
    </r>
    <r>
      <rPr>
        <sz val="9"/>
        <rFont val="Arial"/>
        <family val="2"/>
      </rPr>
      <t>The Company has invested Rs. 9,327.75 lakhs in equity shares capital of its 100% subsidiary Orchid Hotels Pune Private Limited (OHPPL) having negative net worth. No diminution in the value of investments is considered by the Company in view of the fair value of the assets and future business prospects of OHPPL. The statutory auditors have invited attention to the above note in their audit report for the year ended 31</t>
    </r>
    <r>
      <rPr>
        <vertAlign val="superscript"/>
        <sz val="9"/>
        <rFont val="Arial"/>
        <family val="2"/>
      </rPr>
      <t>st</t>
    </r>
    <r>
      <rPr>
        <sz val="9"/>
        <rFont val="Arial"/>
        <family val="2"/>
      </rPr>
      <t xml:space="preserve"> March, 2015.</t>
    </r>
  </si>
  <si>
    <r>
      <t>8.</t>
    </r>
    <r>
      <rPr>
        <sz val="7"/>
        <rFont val="Times New Roman"/>
        <family val="1"/>
      </rPr>
      <t xml:space="preserve">       </t>
    </r>
    <r>
      <rPr>
        <sz val="9"/>
        <rFont val="Arial"/>
        <family val="2"/>
      </rPr>
      <t>The Consolidated financial results of the Company include results of the following subsidiaries viz., (i) Orchid Hotels Pune Private Limited (100%) (ii) Kamats Restaurants (India) Private Limited (100%), (iii) Fort Mahodadhinivas Palace Private Limited (100%), (iv) Fort Jadhavgadh Hotels Private Limited (100%), and (v) Green Dot Restaurants Private Limited (100%), and joint venture company viz., Ilex Developers &amp; Resorts Limited (32.92%) based on financial statements of respective entities, audited by other auditors.</t>
    </r>
  </si>
  <si>
    <r>
      <t>9.</t>
    </r>
    <r>
      <rPr>
        <sz val="7"/>
        <rFont val="Times New Roman"/>
        <family val="1"/>
      </rPr>
      <t xml:space="preserve">       </t>
    </r>
    <r>
      <rPr>
        <sz val="9"/>
        <rFont val="Arial"/>
        <family val="2"/>
      </rPr>
      <t>The figures of previous periods have been regrouped/rearranged, wherever considered necessary.</t>
    </r>
  </si>
  <si>
    <t xml:space="preserve">Place: Mumbai </t>
  </si>
  <si>
    <t xml:space="preserve"> Dr. Vithal V. Kamat</t>
  </si>
  <si>
    <r>
      <t>Date: 30</t>
    </r>
    <r>
      <rPr>
        <vertAlign val="superscript"/>
        <sz val="9"/>
        <rFont val="Arial"/>
        <family val="2"/>
      </rPr>
      <t>th</t>
    </r>
    <r>
      <rPr>
        <sz val="9"/>
        <rFont val="Arial"/>
        <family val="2"/>
      </rPr>
      <t xml:space="preserve"> May , 2015</t>
    </r>
  </si>
  <si>
    <t xml:space="preserve">                                                                                                        </t>
  </si>
  <si>
    <t xml:space="preserve">                              (DIN NO.  00195341)</t>
  </si>
  <si>
    <t xml:space="preserve">Executive Chairman and Managing Director </t>
  </si>
  <si>
    <t>AS AT</t>
  </si>
  <si>
    <t>31/3/2015</t>
  </si>
  <si>
    <t>31-3-2014</t>
  </si>
  <si>
    <t>31/3/2014</t>
  </si>
  <si>
    <t>Equity and Liabilites:</t>
  </si>
  <si>
    <t>Share Application money Pending Allotment</t>
  </si>
  <si>
    <t xml:space="preserve">Non Current Liablities: </t>
  </si>
  <si>
    <t xml:space="preserve">                                                                                                                                                                                   For and on behalf of the Board</t>
  </si>
  <si>
    <t xml:space="preserve">                                                                                                                                      Kamat Hotels (India) Limited</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</si>
</sst>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quot;Rs.&quot;\ #,##0_);\(&quot;Rs.&quot;\ #,##0\)"/>
    <numFmt numFmtId="171" formatCode="&quot;Rs.&quot;\ #,##0_);[Red]\(&quot;Rs.&quot;\ #,##0\)"/>
    <numFmt numFmtId="172" formatCode="&quot;Rs.&quot;\ #,##0.00_);\(&quot;Rs.&quot;\ #,##0.00\)"/>
    <numFmt numFmtId="173" formatCode="&quot;Rs.&quot;\ #,##0.00_);[Red]\(&quot;Rs.&quot;\ #,##0.00\)"/>
    <numFmt numFmtId="174" formatCode="_(&quot;Rs.&quot;\ * #,##0_);_(&quot;Rs.&quot;\ * \(#,##0\);_(&quot;Rs.&quot;\ * &quot;-&quot;_);_(@_)"/>
    <numFmt numFmtId="175" formatCode="_(&quot;Rs.&quot;\ * #,##0.00_);_(&quot;Rs.&quot;\ * \(#,##0.00\);_(&quot;Rs.&quot;\ * &quot;-&quot;??_);_(@_)"/>
    <numFmt numFmtId="176" formatCode="&quot;RS&quot;#,##0_);\(&quot;RS&quot;#,##0\)"/>
    <numFmt numFmtId="177" formatCode="&quot;RS&quot;#,##0_);[Red]\(&quot;RS&quot;#,##0\)"/>
    <numFmt numFmtId="178" formatCode="&quot;RS&quot;#,##0.00_);\(&quot;RS&quot;#,##0.00\)"/>
    <numFmt numFmtId="179" formatCode="&quot;RS&quot;#,##0.00_);[Red]\(&quot;RS&quot;#,##0.00\)"/>
    <numFmt numFmtId="180" formatCode="_(&quot;RS&quot;* #,##0_);_(&quot;RS&quot;* \(#,##0\);_(&quot;RS&quot;* &quot;-&quot;_);_(@_)"/>
    <numFmt numFmtId="181" formatCode="_(&quot;RS&quot;* #,##0.00_);_(&quot;RS&quot;* \(#,##0.00\);_(&quot;RS&quot;* &quot;-&quot;??_);_(@_)"/>
    <numFmt numFmtId="182" formatCode="_(* #,##0_);_(* \(#,##0\);_(* &quot;-&quot;??_);_(@_)"/>
    <numFmt numFmtId="183" formatCode="0.0%"/>
    <numFmt numFmtId="184" formatCode="_(* #,##0_);_(* \(#,##0\);_(* \-??_);_(@_)"/>
    <numFmt numFmtId="185" formatCode="&quot;Yes&quot;;&quot;Yes&quot;;&quot;No&quot;"/>
    <numFmt numFmtId="186" formatCode="&quot;True&quot;;&quot;True&quot;;&quot;False&quot;"/>
    <numFmt numFmtId="187" formatCode="&quot;On&quot;;&quot;On&quot;;&quot;Off&quot;"/>
    <numFmt numFmtId="188" formatCode="[$€-2]\ #,##0.00_);[Red]\([$€-2]\ #,##0.00\)"/>
    <numFmt numFmtId="189" formatCode="0.00_);\(0.00\)"/>
    <numFmt numFmtId="190" formatCode="0.0_);\(0.0\)"/>
    <numFmt numFmtId="191" formatCode="0_);\(0\)"/>
    <numFmt numFmtId="192" formatCode="_(* #,##0.0_);_(* \(#,##0.0\);_(* &quot;-&quot;??_);_(@_)"/>
    <numFmt numFmtId="193" formatCode="0.000"/>
    <numFmt numFmtId="194" formatCode="0.0"/>
    <numFmt numFmtId="195" formatCode="_(* #,##0.000_);_(* \(#,##0.000\);_(* &quot;-&quot;??_);_(@_)"/>
    <numFmt numFmtId="196" formatCode="_(* #,##0.00_);_(* \(#,##0.00\);_(* \-??_);_(@_)"/>
    <numFmt numFmtId="197" formatCode="_(* #,##0.0000_);_(* \(#,##0.0000\);_(* &quot;-&quot;??_);_(@_)"/>
    <numFmt numFmtId="198" formatCode="_(* #,##0.00000_);_(* \(#,##0.00000\);_(* &quot;-&quot;??_);_(@_)"/>
    <numFmt numFmtId="199" formatCode="#,##0.0_);\(#,##0.0\)"/>
    <numFmt numFmtId="200" formatCode="0.000000000"/>
    <numFmt numFmtId="201" formatCode="_(* #,##0.000_);_(* \(#,##0.000\);_(* \-??_);_(@_)"/>
    <numFmt numFmtId="202" formatCode="_(* #,##0.0000_);_(* \(#,##0.0000\);_(* \-??_);_(@_)"/>
    <numFmt numFmtId="203" formatCode="_(* #,##0.00000_);_(* \(#,##0.00000\);_(* \-??_);_(@_)"/>
    <numFmt numFmtId="204" formatCode="_(* #,##0.0_);_(* \(#,##0.0\);_(* \-??_);_(@_)"/>
    <numFmt numFmtId="205" formatCode="_(* #,##0.000000_);_(* \(#,##0.000000\);_(* &quot;-&quot;??_);_(@_)"/>
    <numFmt numFmtId="206" formatCode="0.000%"/>
    <numFmt numFmtId="207" formatCode="_(* #,##0.0000000_);_(* \(#,##0.0000000\);_(* &quot;-&quot;??_);_(@_)"/>
    <numFmt numFmtId="208" formatCode="_(* #,##0.00000000_);_(* \(#,##0.00000000\);_(* &quot;-&quot;??_);_(@_)"/>
    <numFmt numFmtId="209" formatCode="_(* #,##0.000000000_);_(* \(#,##0.000000000\);_(* &quot;-&quot;??_);_(@_)"/>
  </numFmts>
  <fonts count="54">
    <font>
      <sz val="10"/>
      <name val="Arial"/>
      <family val="0"/>
    </font>
    <font>
      <sz val="12"/>
      <name val="Arial"/>
      <family val="2"/>
    </font>
    <font>
      <b/>
      <sz val="12"/>
      <name val="Arial"/>
      <family val="2"/>
    </font>
    <font>
      <b/>
      <sz val="10"/>
      <name val="Arial"/>
      <family val="2"/>
    </font>
    <font>
      <b/>
      <sz val="14"/>
      <name val="Arial"/>
      <family val="2"/>
    </font>
    <font>
      <b/>
      <sz val="11"/>
      <name val="Arial"/>
      <family val="2"/>
    </font>
    <font>
      <sz val="11"/>
      <name val="Arial"/>
      <family val="2"/>
    </font>
    <font>
      <i/>
      <sz val="10"/>
      <name val="Arial"/>
      <family val="2"/>
    </font>
    <font>
      <sz val="9"/>
      <name val="Verdana"/>
      <family val="2"/>
    </font>
    <font>
      <b/>
      <sz val="9"/>
      <name val="Verdana"/>
      <family val="2"/>
    </font>
    <font>
      <b/>
      <sz val="16"/>
      <name val="Arial"/>
      <family val="2"/>
    </font>
    <font>
      <u val="single"/>
      <sz val="10"/>
      <color indexed="12"/>
      <name val="Arial"/>
      <family val="2"/>
    </font>
    <font>
      <u val="single"/>
      <sz val="10"/>
      <color indexed="36"/>
      <name val="Arial"/>
      <family val="2"/>
    </font>
    <font>
      <sz val="14"/>
      <name val="Arial"/>
      <family val="2"/>
    </font>
    <font>
      <b/>
      <sz val="13"/>
      <name val="Arial"/>
      <family val="2"/>
    </font>
    <font>
      <b/>
      <u val="single"/>
      <sz val="14"/>
      <name val="Arial"/>
      <family val="2"/>
    </font>
    <font>
      <b/>
      <sz val="12.5"/>
      <name val="Arial"/>
      <family val="2"/>
    </font>
    <font>
      <vertAlign val="superscript"/>
      <sz val="14"/>
      <name val="Arial"/>
      <family val="2"/>
    </font>
    <font>
      <sz val="12"/>
      <name val="Times New Roman"/>
      <family val="1"/>
    </font>
    <font>
      <sz val="7"/>
      <name val="Times New Roman"/>
      <family val="1"/>
    </font>
    <font>
      <sz val="8"/>
      <name val="Arial"/>
      <family val="2"/>
    </font>
    <font>
      <sz val="20"/>
      <name val="Arial"/>
      <family val="2"/>
    </font>
    <font>
      <b/>
      <sz val="10"/>
      <name val="Verdana"/>
      <family val="2"/>
    </font>
    <font>
      <sz val="8"/>
      <name val="Verdana"/>
      <family val="2"/>
    </font>
    <font>
      <b/>
      <sz val="9"/>
      <name val="Arial"/>
      <family val="2"/>
    </font>
    <font>
      <sz val="8"/>
      <name val="Tahoma"/>
      <family val="2"/>
    </font>
    <font>
      <b/>
      <sz val="8"/>
      <name val="Tahoma"/>
      <family val="2"/>
    </font>
    <font>
      <sz val="10"/>
      <name val="Verdana"/>
      <family val="2"/>
    </font>
    <font>
      <b/>
      <sz val="10.5"/>
      <name val="Arial"/>
      <family val="2"/>
    </font>
    <font>
      <sz val="9"/>
      <name val="Arial"/>
      <family val="2"/>
    </font>
    <font>
      <b/>
      <sz val="22"/>
      <name val="Arial"/>
      <family val="2"/>
    </font>
    <font>
      <u val="single"/>
      <sz val="11"/>
      <name val="Arial"/>
      <family val="2"/>
    </font>
    <font>
      <u val="single"/>
      <sz val="9"/>
      <name val="Arial"/>
      <family val="2"/>
    </font>
    <font>
      <b/>
      <sz val="10"/>
      <name val="Rupee Foradi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9"/>
      <name val="Arial"/>
      <family val="2"/>
    </font>
    <font>
      <sz val="9"/>
      <name val="Rupee Foradian"/>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right style="thin">
        <color indexed="8"/>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top>
        <color indexed="63"/>
      </top>
      <bottom style="thin">
        <color indexed="8"/>
      </botto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double"/>
    </border>
    <border>
      <left style="thin">
        <color indexed="8"/>
      </left>
      <right>
        <color indexed="63"/>
      </right>
      <top style="thin">
        <color indexed="8"/>
      </top>
      <bottom>
        <color indexed="63"/>
      </bottom>
    </border>
    <border>
      <left style="thin">
        <color indexed="8"/>
      </left>
      <right>
        <color indexed="63"/>
      </right>
      <top style="thin"/>
      <bottom style="thin"/>
    </border>
    <border>
      <left style="thin">
        <color indexed="8"/>
      </left>
      <right>
        <color indexed="63"/>
      </right>
      <top>
        <color indexed="63"/>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color indexed="63"/>
      </bottom>
    </border>
    <border>
      <left>
        <color indexed="63"/>
      </left>
      <right style="thin"/>
      <top style="thin">
        <color indexed="8"/>
      </top>
      <bottom style="thin">
        <color indexed="8"/>
      </bottom>
    </border>
    <border>
      <left>
        <color indexed="63"/>
      </left>
      <right style="thin"/>
      <top style="thin">
        <color indexed="8"/>
      </top>
      <bottom>
        <color indexed="63"/>
      </bottom>
    </border>
    <border>
      <left>
        <color indexed="63"/>
      </left>
      <right>
        <color indexed="63"/>
      </right>
      <top style="medium"/>
      <bottom>
        <color indexed="63"/>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90">
    <xf numFmtId="0" fontId="0" fillId="0" borderId="0" xfId="0" applyAlignment="1">
      <alignment/>
    </xf>
    <xf numFmtId="0" fontId="1" fillId="0" borderId="0" xfId="0" applyFont="1"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43" fontId="6" fillId="0" borderId="0" xfId="42" applyFont="1" applyAlignment="1">
      <alignment/>
    </xf>
    <xf numFmtId="0" fontId="2" fillId="0" borderId="10" xfId="0" applyFont="1" applyBorder="1" applyAlignment="1">
      <alignment horizontal="center"/>
    </xf>
    <xf numFmtId="0" fontId="2" fillId="0" borderId="10" xfId="0" applyFont="1" applyBorder="1" applyAlignment="1" quotePrefix="1">
      <alignment horizontal="center"/>
    </xf>
    <xf numFmtId="43" fontId="1" fillId="0" borderId="0" xfId="42" applyFont="1" applyAlignment="1">
      <alignment/>
    </xf>
    <xf numFmtId="43" fontId="1" fillId="0" borderId="0" xfId="42" applyFont="1" applyAlignment="1">
      <alignment horizontal="center"/>
    </xf>
    <xf numFmtId="0" fontId="1" fillId="0" borderId="0" xfId="0" applyFont="1" applyBorder="1" applyAlignment="1" quotePrefix="1">
      <alignment horizontal="right" vertical="top"/>
    </xf>
    <xf numFmtId="0" fontId="1" fillId="0" borderId="0" xfId="0" applyFont="1" applyBorder="1" applyAlignment="1" quotePrefix="1">
      <alignment wrapText="1"/>
    </xf>
    <xf numFmtId="43" fontId="1" fillId="0" borderId="0" xfId="42" applyFont="1" applyBorder="1" applyAlignment="1">
      <alignment/>
    </xf>
    <xf numFmtId="0" fontId="8" fillId="0" borderId="0" xfId="0" applyFont="1" applyAlignment="1">
      <alignment/>
    </xf>
    <xf numFmtId="0" fontId="9" fillId="0" borderId="0" xfId="0" applyFont="1" applyAlignment="1">
      <alignment/>
    </xf>
    <xf numFmtId="43" fontId="6" fillId="0" borderId="0" xfId="42" applyFont="1" applyBorder="1" applyAlignment="1">
      <alignment/>
    </xf>
    <xf numFmtId="43" fontId="6" fillId="0" borderId="0" xfId="42" applyFont="1" applyBorder="1" applyAlignment="1">
      <alignment horizontal="center"/>
    </xf>
    <xf numFmtId="43" fontId="1" fillId="0" borderId="0" xfId="0" applyNumberFormat="1" applyFont="1" applyAlignment="1">
      <alignment/>
    </xf>
    <xf numFmtId="0" fontId="6" fillId="0" borderId="0" xfId="0" applyFont="1" applyAlignment="1" quotePrefix="1">
      <alignment/>
    </xf>
    <xf numFmtId="182" fontId="6" fillId="0" borderId="0" xfId="42" applyNumberFormat="1" applyFont="1" applyAlignment="1">
      <alignment/>
    </xf>
    <xf numFmtId="0" fontId="6" fillId="0" borderId="11" xfId="0" applyFont="1" applyBorder="1" applyAlignment="1">
      <alignment/>
    </xf>
    <xf numFmtId="43" fontId="6" fillId="0" borderId="11" xfId="42" applyFont="1" applyBorder="1" applyAlignment="1">
      <alignment/>
    </xf>
    <xf numFmtId="0" fontId="6" fillId="0" borderId="0" xfId="0" applyFont="1" applyAlignment="1" quotePrefix="1">
      <alignment horizontal="center" vertical="center" wrapText="1"/>
    </xf>
    <xf numFmtId="0" fontId="6" fillId="0" borderId="0" xfId="0" applyFont="1" applyAlignment="1">
      <alignment horizontal="center" vertical="center" wrapText="1"/>
    </xf>
    <xf numFmtId="0" fontId="2" fillId="0" borderId="0" xfId="0" applyFont="1" applyAlignment="1">
      <alignment horizontal="left"/>
    </xf>
    <xf numFmtId="0" fontId="5" fillId="0" borderId="0" xfId="0" applyFont="1" applyAlignment="1">
      <alignment horizontal="left"/>
    </xf>
    <xf numFmtId="43" fontId="1" fillId="0" borderId="0" xfId="0" applyNumberFormat="1" applyFont="1" applyFill="1" applyBorder="1" applyAlignment="1">
      <alignment/>
    </xf>
    <xf numFmtId="43" fontId="0" fillId="0" borderId="0" xfId="0" applyNumberFormat="1" applyAlignment="1">
      <alignment/>
    </xf>
    <xf numFmtId="43" fontId="6" fillId="0" borderId="0" xfId="42" applyFont="1" applyFill="1" applyAlignment="1">
      <alignment/>
    </xf>
    <xf numFmtId="43" fontId="5" fillId="0" borderId="0" xfId="42" applyFont="1" applyFill="1" applyAlignment="1">
      <alignment/>
    </xf>
    <xf numFmtId="0" fontId="19" fillId="0" borderId="0" xfId="0" applyFont="1" applyAlignment="1">
      <alignment horizontal="justify"/>
    </xf>
    <xf numFmtId="0" fontId="18" fillId="0" borderId="0" xfId="0" applyFont="1" applyAlignment="1">
      <alignment/>
    </xf>
    <xf numFmtId="0" fontId="15" fillId="24" borderId="0" xfId="0" applyFont="1" applyFill="1" applyAlignment="1">
      <alignment horizontal="left"/>
    </xf>
    <xf numFmtId="0" fontId="1" fillId="24" borderId="0" xfId="0" applyFont="1" applyFill="1" applyAlignment="1">
      <alignment/>
    </xf>
    <xf numFmtId="40" fontId="1" fillId="24" borderId="0" xfId="0" applyNumberFormat="1" applyFont="1" applyFill="1" applyAlignment="1">
      <alignment/>
    </xf>
    <xf numFmtId="0" fontId="5" fillId="24" borderId="0" xfId="0" applyFont="1" applyFill="1" applyAlignment="1">
      <alignment horizontal="left"/>
    </xf>
    <xf numFmtId="0" fontId="3" fillId="24" borderId="0" xfId="0" applyFont="1" applyFill="1" applyAlignment="1" quotePrefix="1">
      <alignment horizontal="left"/>
    </xf>
    <xf numFmtId="0" fontId="13" fillId="24" borderId="0" xfId="0" applyFont="1" applyFill="1" applyAlignment="1" quotePrefix="1">
      <alignment horizontal="center" vertical="top"/>
    </xf>
    <xf numFmtId="0" fontId="7" fillId="24" borderId="0" xfId="0" applyFont="1" applyFill="1" applyAlignment="1">
      <alignment/>
    </xf>
    <xf numFmtId="40" fontId="0" fillId="24" borderId="0" xfId="0" applyNumberFormat="1" applyFill="1" applyAlignment="1">
      <alignment/>
    </xf>
    <xf numFmtId="40" fontId="2" fillId="24" borderId="0" xfId="0" applyNumberFormat="1" applyFont="1" applyFill="1" applyAlignment="1">
      <alignment/>
    </xf>
    <xf numFmtId="0" fontId="0" fillId="24" borderId="0" xfId="0" applyFill="1" applyAlignment="1">
      <alignment/>
    </xf>
    <xf numFmtId="40" fontId="4" fillId="24" borderId="0" xfId="0" applyNumberFormat="1" applyFont="1" applyFill="1" applyAlignment="1">
      <alignment/>
    </xf>
    <xf numFmtId="0" fontId="14" fillId="24" borderId="0" xfId="0" applyFont="1" applyFill="1" applyAlignment="1">
      <alignment/>
    </xf>
    <xf numFmtId="0" fontId="14" fillId="24" borderId="0" xfId="0" applyFont="1" applyFill="1" applyAlignment="1" quotePrefix="1">
      <alignment horizontal="left"/>
    </xf>
    <xf numFmtId="0" fontId="16" fillId="24" borderId="0" xfId="0" applyFont="1" applyFill="1" applyAlignment="1">
      <alignment/>
    </xf>
    <xf numFmtId="0" fontId="2" fillId="24" borderId="0" xfId="0" applyFont="1" applyFill="1" applyAlignment="1">
      <alignment/>
    </xf>
    <xf numFmtId="0" fontId="6" fillId="24" borderId="0" xfId="0" applyFont="1" applyFill="1" applyAlignment="1">
      <alignment/>
    </xf>
    <xf numFmtId="0" fontId="5" fillId="24" borderId="0" xfId="0" applyFont="1" applyFill="1" applyAlignment="1">
      <alignment/>
    </xf>
    <xf numFmtId="0" fontId="5" fillId="24" borderId="0" xfId="0" applyFont="1" applyFill="1" applyAlignment="1">
      <alignment/>
    </xf>
    <xf numFmtId="0" fontId="6" fillId="24" borderId="0" xfId="0" applyFont="1" applyFill="1" applyAlignment="1" quotePrefix="1">
      <alignment horizontal="left"/>
    </xf>
    <xf numFmtId="0" fontId="1" fillId="3" borderId="0" xfId="0" applyFont="1" applyFill="1" applyBorder="1" applyAlignment="1">
      <alignment wrapText="1"/>
    </xf>
    <xf numFmtId="0" fontId="1" fillId="0" borderId="0" xfId="0" applyFont="1" applyBorder="1" applyAlignment="1" quotePrefix="1">
      <alignment horizontal="justify" vertical="top"/>
    </xf>
    <xf numFmtId="0" fontId="1" fillId="0" borderId="0" xfId="0" applyFont="1" applyBorder="1" applyAlignment="1">
      <alignment horizontal="left" wrapText="1"/>
    </xf>
    <xf numFmtId="49" fontId="1" fillId="0" borderId="0" xfId="42" applyNumberFormat="1" applyFont="1" applyBorder="1" applyAlignment="1" quotePrefix="1">
      <alignment horizontal="right" wrapText="1"/>
    </xf>
    <xf numFmtId="49" fontId="1" fillId="0" borderId="0" xfId="42" applyNumberFormat="1" applyFont="1" applyBorder="1" applyAlignment="1">
      <alignment horizontal="right" wrapText="1"/>
    </xf>
    <xf numFmtId="189" fontId="2" fillId="0" borderId="0" xfId="42" applyNumberFormat="1" applyFont="1" applyBorder="1" applyAlignment="1">
      <alignment horizontal="right" wrapText="1"/>
    </xf>
    <xf numFmtId="0" fontId="3" fillId="0" borderId="0" xfId="0" applyFont="1" applyAlignment="1">
      <alignment/>
    </xf>
    <xf numFmtId="43" fontId="2" fillId="0" borderId="0" xfId="42" applyFont="1" applyBorder="1" applyAlignment="1">
      <alignment/>
    </xf>
    <xf numFmtId="0" fontId="5" fillId="0" borderId="0" xfId="0" applyFont="1" applyAlignment="1">
      <alignment horizontal="center"/>
    </xf>
    <xf numFmtId="0" fontId="1" fillId="0" borderId="0" xfId="0" applyFont="1" applyFill="1" applyBorder="1" applyAlignment="1">
      <alignment horizontal="left" vertical="center" wrapText="1"/>
    </xf>
    <xf numFmtId="0" fontId="9" fillId="0" borderId="0" xfId="0" applyFont="1" applyAlignment="1">
      <alignment horizontal="left"/>
    </xf>
    <xf numFmtId="0" fontId="9" fillId="0" borderId="12" xfId="0" applyFont="1" applyBorder="1" applyAlignment="1">
      <alignment horizontal="center" wrapText="1"/>
    </xf>
    <xf numFmtId="0" fontId="9" fillId="0" borderId="13" xfId="0" applyFont="1" applyBorder="1" applyAlignment="1">
      <alignment/>
    </xf>
    <xf numFmtId="0" fontId="9" fillId="0" borderId="13" xfId="0" applyFont="1" applyBorder="1" applyAlignment="1">
      <alignment horizontal="center"/>
    </xf>
    <xf numFmtId="0" fontId="8" fillId="0" borderId="13" xfId="0" applyFont="1" applyBorder="1" applyAlignment="1">
      <alignment horizontal="center"/>
    </xf>
    <xf numFmtId="0" fontId="9" fillId="0" borderId="14" xfId="0" applyFont="1" applyBorder="1" applyAlignment="1">
      <alignment horizontal="center" wrapText="1"/>
    </xf>
    <xf numFmtId="0" fontId="9" fillId="0" borderId="13" xfId="0" applyFont="1" applyBorder="1" applyAlignment="1">
      <alignment horizontal="center" wrapText="1"/>
    </xf>
    <xf numFmtId="43" fontId="8" fillId="0" borderId="13" xfId="42" applyFont="1" applyFill="1" applyBorder="1" applyAlignment="1" applyProtection="1">
      <alignment/>
      <protection/>
    </xf>
    <xf numFmtId="0" fontId="9" fillId="0" borderId="13" xfId="0" applyFont="1" applyBorder="1" applyAlignment="1">
      <alignment/>
    </xf>
    <xf numFmtId="43" fontId="9" fillId="0" borderId="13" xfId="42" applyFont="1" applyFill="1" applyBorder="1" applyAlignment="1" applyProtection="1">
      <alignment/>
      <protection/>
    </xf>
    <xf numFmtId="0" fontId="9" fillId="0" borderId="13" xfId="0" applyFont="1" applyBorder="1" applyAlignment="1">
      <alignment horizontal="justify" wrapText="1"/>
    </xf>
    <xf numFmtId="196" fontId="8" fillId="0" borderId="0" xfId="0" applyNumberFormat="1" applyFont="1" applyAlignment="1">
      <alignment/>
    </xf>
    <xf numFmtId="0" fontId="2" fillId="0" borderId="0" xfId="0" applyFont="1" applyBorder="1" applyAlignment="1">
      <alignment horizontal="left" wrapText="1"/>
    </xf>
    <xf numFmtId="49" fontId="2" fillId="0" borderId="0" xfId="42" applyNumberFormat="1" applyFont="1" applyFill="1" applyBorder="1" applyAlignment="1" applyProtection="1">
      <alignment horizontal="right" wrapText="1"/>
      <protection/>
    </xf>
    <xf numFmtId="49" fontId="1" fillId="0" borderId="0" xfId="42" applyNumberFormat="1" applyFont="1" applyFill="1" applyBorder="1" applyAlignment="1" applyProtection="1">
      <alignment horizontal="right" wrapText="1"/>
      <protection/>
    </xf>
    <xf numFmtId="189" fontId="1" fillId="0" borderId="0" xfId="42" applyNumberFormat="1" applyFont="1" applyFill="1" applyBorder="1" applyAlignment="1" applyProtection="1">
      <alignment horizontal="right" wrapText="1"/>
      <protection/>
    </xf>
    <xf numFmtId="43" fontId="5" fillId="0" borderId="0" xfId="42" applyFont="1" applyAlignment="1">
      <alignment/>
    </xf>
    <xf numFmtId="182" fontId="6" fillId="0" borderId="0" xfId="42" applyNumberFormat="1" applyFont="1" applyFill="1" applyAlignment="1">
      <alignment/>
    </xf>
    <xf numFmtId="182" fontId="6" fillId="0" borderId="0" xfId="0" applyNumberFormat="1" applyFont="1" applyAlignment="1">
      <alignment/>
    </xf>
    <xf numFmtId="182" fontId="5" fillId="0" borderId="0" xfId="42" applyNumberFormat="1" applyFont="1" applyFill="1" applyAlignment="1">
      <alignment/>
    </xf>
    <xf numFmtId="0" fontId="6" fillId="0" borderId="0" xfId="0" applyFont="1" applyAlignment="1">
      <alignment horizontal="center"/>
    </xf>
    <xf numFmtId="0" fontId="6" fillId="0" borderId="0" xfId="0" applyFont="1" applyFill="1" applyAlignment="1" quotePrefix="1">
      <alignment/>
    </xf>
    <xf numFmtId="182" fontId="5" fillId="0" borderId="0" xfId="0" applyNumberFormat="1" applyFont="1" applyAlignment="1">
      <alignment/>
    </xf>
    <xf numFmtId="41" fontId="6" fillId="0" borderId="0" xfId="42" applyNumberFormat="1" applyFont="1" applyAlignment="1">
      <alignment/>
    </xf>
    <xf numFmtId="43" fontId="6" fillId="0" borderId="11" xfId="42" applyFont="1" applyFill="1" applyBorder="1" applyAlignment="1">
      <alignment/>
    </xf>
    <xf numFmtId="0" fontId="0" fillId="0" borderId="0" xfId="0" applyAlignment="1">
      <alignment horizontal="center"/>
    </xf>
    <xf numFmtId="182" fontId="5" fillId="0" borderId="15" xfId="42" applyNumberFormat="1" applyFont="1" applyBorder="1" applyAlignment="1">
      <alignment/>
    </xf>
    <xf numFmtId="182" fontId="5" fillId="0" borderId="15" xfId="0" applyNumberFormat="1" applyFont="1" applyBorder="1" applyAlignment="1">
      <alignment/>
    </xf>
    <xf numFmtId="0" fontId="2" fillId="0" borderId="0" xfId="0" applyFont="1" applyAlignment="1">
      <alignment horizontal="center"/>
    </xf>
    <xf numFmtId="0" fontId="10" fillId="0" borderId="0" xfId="0" applyFont="1" applyAlignment="1">
      <alignment horizontal="center"/>
    </xf>
    <xf numFmtId="0" fontId="22" fillId="0" borderId="0" xfId="0" applyFont="1" applyAlignment="1">
      <alignment/>
    </xf>
    <xf numFmtId="0" fontId="1" fillId="0" borderId="0" xfId="42" applyNumberFormat="1" applyFont="1" applyBorder="1" applyAlignment="1">
      <alignment horizontal="right" wrapText="1"/>
    </xf>
    <xf numFmtId="182" fontId="5" fillId="0" borderId="0" xfId="42" applyNumberFormat="1" applyFont="1" applyBorder="1" applyAlignment="1">
      <alignment/>
    </xf>
    <xf numFmtId="43" fontId="9" fillId="0" borderId="16" xfId="42" applyFont="1" applyFill="1" applyBorder="1" applyAlignment="1" applyProtection="1">
      <alignment/>
      <protection/>
    </xf>
    <xf numFmtId="43" fontId="9" fillId="0" borderId="17" xfId="42" applyFont="1" applyFill="1" applyBorder="1" applyAlignment="1" applyProtection="1">
      <alignment/>
      <protection/>
    </xf>
    <xf numFmtId="0" fontId="5" fillId="0" borderId="0" xfId="0" applyFont="1" applyBorder="1" applyAlignment="1">
      <alignment horizontal="center"/>
    </xf>
    <xf numFmtId="0" fontId="6" fillId="0" borderId="15" xfId="0" applyFont="1" applyBorder="1" applyAlignment="1" quotePrefix="1">
      <alignment horizontal="center" vertical="top"/>
    </xf>
    <xf numFmtId="0" fontId="6" fillId="0" borderId="18" xfId="0" applyFont="1" applyBorder="1" applyAlignment="1" quotePrefix="1">
      <alignment horizontal="center" vertical="top"/>
    </xf>
    <xf numFmtId="0" fontId="6" fillId="0" borderId="19" xfId="0" applyFont="1" applyBorder="1" applyAlignment="1">
      <alignment horizontal="justify" vertical="top" wrapText="1"/>
    </xf>
    <xf numFmtId="0" fontId="5" fillId="0" borderId="19" xfId="0" applyFont="1" applyBorder="1" applyAlignment="1">
      <alignment horizontal="justify" vertical="top" wrapText="1"/>
    </xf>
    <xf numFmtId="0" fontId="6" fillId="0" borderId="0" xfId="0" applyFont="1" applyBorder="1" applyAlignment="1" quotePrefix="1">
      <alignment horizontal="center" vertical="center"/>
    </xf>
    <xf numFmtId="0" fontId="5" fillId="0" borderId="0" xfId="0" applyFont="1" applyBorder="1" applyAlignment="1">
      <alignment horizontal="justify" vertical="center" wrapText="1"/>
    </xf>
    <xf numFmtId="43" fontId="5" fillId="0" borderId="0" xfId="42" applyFont="1" applyBorder="1" applyAlignment="1">
      <alignment/>
    </xf>
    <xf numFmtId="0" fontId="6" fillId="0" borderId="15" xfId="0" applyFont="1" applyBorder="1" applyAlignment="1">
      <alignment horizontal="justify" vertical="top" wrapText="1"/>
    </xf>
    <xf numFmtId="0" fontId="6" fillId="0" borderId="15" xfId="0" applyFont="1" applyBorder="1" applyAlignment="1">
      <alignment horizontal="left" vertical="top" wrapText="1"/>
    </xf>
    <xf numFmtId="43" fontId="6" fillId="0" borderId="20" xfId="42" applyFont="1" applyFill="1" applyBorder="1" applyAlignment="1" applyProtection="1">
      <alignment horizontal="center" vertical="top" wrapText="1"/>
      <protection/>
    </xf>
    <xf numFmtId="3" fontId="6" fillId="0" borderId="20" xfId="42" applyNumberFormat="1" applyFont="1" applyFill="1" applyBorder="1" applyAlignment="1" applyProtection="1">
      <alignment horizontal="right" vertical="top" wrapText="1"/>
      <protection/>
    </xf>
    <xf numFmtId="10" fontId="6" fillId="0" borderId="20" xfId="42" applyNumberFormat="1" applyFont="1" applyFill="1" applyBorder="1" applyAlignment="1" applyProtection="1">
      <alignment horizontal="right" vertical="top" wrapText="1"/>
      <protection/>
    </xf>
    <xf numFmtId="10" fontId="6" fillId="0" borderId="21" xfId="42" applyNumberFormat="1" applyFont="1" applyFill="1" applyBorder="1" applyAlignment="1" applyProtection="1">
      <alignment horizontal="right" vertical="top" wrapText="1"/>
      <protection/>
    </xf>
    <xf numFmtId="0" fontId="6" fillId="0" borderId="0" xfId="0" applyFont="1" applyBorder="1" applyAlignment="1" quotePrefix="1">
      <alignment horizontal="justify" vertical="top"/>
    </xf>
    <xf numFmtId="0" fontId="6" fillId="0" borderId="0" xfId="0" applyFont="1" applyBorder="1" applyAlignment="1">
      <alignment horizontal="left" wrapText="1"/>
    </xf>
    <xf numFmtId="49" fontId="6" fillId="0" borderId="0" xfId="42" applyNumberFormat="1" applyFont="1" applyBorder="1" applyAlignment="1">
      <alignment horizontal="right" wrapText="1"/>
    </xf>
    <xf numFmtId="49" fontId="6" fillId="0" borderId="0" xfId="42" applyNumberFormat="1" applyFont="1" applyBorder="1" applyAlignment="1" quotePrefix="1">
      <alignment horizontal="right" wrapText="1"/>
    </xf>
    <xf numFmtId="0" fontId="6" fillId="0" borderId="22" xfId="0" applyFont="1" applyBorder="1" applyAlignment="1">
      <alignment vertical="top"/>
    </xf>
    <xf numFmtId="43" fontId="6" fillId="0" borderId="15" xfId="42" applyFont="1" applyBorder="1" applyAlignment="1">
      <alignment vertical="top"/>
    </xf>
    <xf numFmtId="0" fontId="6" fillId="0" borderId="15" xfId="0" applyFont="1" applyBorder="1" applyAlignment="1">
      <alignment horizontal="center" vertical="top"/>
    </xf>
    <xf numFmtId="43" fontId="5" fillId="0" borderId="15" xfId="42" applyFont="1" applyBorder="1" applyAlignment="1">
      <alignment vertical="top"/>
    </xf>
    <xf numFmtId="43" fontId="6" fillId="0" borderId="15" xfId="42" applyFont="1" applyFill="1" applyBorder="1" applyAlignment="1">
      <alignment vertical="top"/>
    </xf>
    <xf numFmtId="0" fontId="6" fillId="0" borderId="21" xfId="0" applyFont="1" applyBorder="1" applyAlignment="1">
      <alignment horizontal="center" vertical="top"/>
    </xf>
    <xf numFmtId="0" fontId="6" fillId="0" borderId="21" xfId="0" applyFont="1" applyBorder="1" applyAlignment="1">
      <alignment vertical="top"/>
    </xf>
    <xf numFmtId="43" fontId="6" fillId="0" borderId="21" xfId="42" applyFont="1" applyBorder="1" applyAlignment="1">
      <alignment vertical="top"/>
    </xf>
    <xf numFmtId="0" fontId="6" fillId="0" borderId="15" xfId="0" applyFont="1" applyBorder="1" applyAlignment="1">
      <alignment vertical="top"/>
    </xf>
    <xf numFmtId="0" fontId="5" fillId="0" borderId="15" xfId="0" applyFont="1" applyBorder="1" applyAlignment="1" quotePrefix="1">
      <alignment horizontal="left" vertical="top" wrapText="1"/>
    </xf>
    <xf numFmtId="43" fontId="5" fillId="0" borderId="15" xfId="42" applyFont="1" applyFill="1" applyBorder="1" applyAlignment="1">
      <alignment vertical="top"/>
    </xf>
    <xf numFmtId="43" fontId="6" fillId="0" borderId="21" xfId="42" applyFont="1" applyFill="1" applyBorder="1" applyAlignment="1">
      <alignment vertical="top"/>
    </xf>
    <xf numFmtId="43" fontId="6" fillId="0" borderId="11" xfId="42" applyFont="1" applyFill="1" applyBorder="1" applyAlignment="1">
      <alignment vertical="top"/>
    </xf>
    <xf numFmtId="0" fontId="6" fillId="0" borderId="21" xfId="0" applyFont="1" applyBorder="1" applyAlignment="1">
      <alignment horizontal="justify" vertical="top" wrapText="1"/>
    </xf>
    <xf numFmtId="43" fontId="5" fillId="0" borderId="21" xfId="42" applyFont="1" applyBorder="1" applyAlignment="1">
      <alignment vertical="top"/>
    </xf>
    <xf numFmtId="0" fontId="6" fillId="0" borderId="15" xfId="0" applyFont="1" applyBorder="1" applyAlignment="1" quotePrefix="1">
      <alignment horizontal="left" vertical="top"/>
    </xf>
    <xf numFmtId="0" fontId="6" fillId="0" borderId="19" xfId="0" applyFont="1" applyBorder="1" applyAlignment="1">
      <alignment vertical="top"/>
    </xf>
    <xf numFmtId="0" fontId="5" fillId="0" borderId="23" xfId="0" applyFont="1" applyBorder="1" applyAlignment="1">
      <alignment horizontal="center" vertical="top"/>
    </xf>
    <xf numFmtId="0" fontId="6" fillId="0" borderId="15" xfId="0" applyFont="1" applyBorder="1" applyAlignment="1" quotePrefix="1">
      <alignment horizontal="left" vertical="top" wrapText="1"/>
    </xf>
    <xf numFmtId="43" fontId="6" fillId="0" borderId="15" xfId="42" applyFont="1" applyBorder="1" applyAlignment="1">
      <alignment horizontal="center" vertical="top"/>
    </xf>
    <xf numFmtId="43" fontId="6" fillId="0" borderId="15" xfId="42" applyFont="1" applyFill="1" applyBorder="1" applyAlignment="1">
      <alignment horizontal="center" vertical="top"/>
    </xf>
    <xf numFmtId="49" fontId="6" fillId="0" borderId="15" xfId="42" applyNumberFormat="1" applyFont="1" applyFill="1" applyBorder="1" applyAlignment="1" quotePrefix="1">
      <alignment horizontal="right" vertical="top" wrapText="1"/>
    </xf>
    <xf numFmtId="0" fontId="6" fillId="0" borderId="0" xfId="0" applyFont="1" applyFill="1" applyBorder="1" applyAlignment="1">
      <alignment horizontal="left" vertical="top" wrapText="1"/>
    </xf>
    <xf numFmtId="49" fontId="6" fillId="0" borderId="24" xfId="42" applyNumberFormat="1" applyFont="1" applyFill="1" applyBorder="1" applyAlignment="1" quotePrefix="1">
      <alignment horizontal="right" vertical="top" wrapText="1"/>
    </xf>
    <xf numFmtId="49" fontId="6" fillId="0" borderId="24" xfId="42" applyNumberFormat="1" applyFont="1" applyBorder="1" applyAlignment="1" quotePrefix="1">
      <alignment horizontal="right" vertical="top" wrapText="1"/>
    </xf>
    <xf numFmtId="0" fontId="6" fillId="0" borderId="0" xfId="0" applyFont="1" applyFill="1" applyBorder="1" applyAlignment="1" quotePrefix="1">
      <alignment horizontal="left" vertical="top" wrapText="1"/>
    </xf>
    <xf numFmtId="49" fontId="6" fillId="0" borderId="20" xfId="42" applyNumberFormat="1" applyFont="1" applyFill="1" applyBorder="1" applyAlignment="1" quotePrefix="1">
      <alignment horizontal="right" vertical="top" wrapText="1"/>
    </xf>
    <xf numFmtId="49" fontId="6" fillId="0" borderId="20" xfId="42" applyNumberFormat="1" applyFont="1" applyBorder="1" applyAlignment="1" quotePrefix="1">
      <alignment horizontal="right" vertical="top" wrapText="1"/>
    </xf>
    <xf numFmtId="0" fontId="6" fillId="0" borderId="25" xfId="0" applyFont="1" applyFill="1" applyBorder="1" applyAlignment="1" quotePrefix="1">
      <alignment horizontal="left" vertical="top" wrapText="1"/>
    </xf>
    <xf numFmtId="0" fontId="6" fillId="0" borderId="15" xfId="0" applyFont="1" applyBorder="1" applyAlignment="1" quotePrefix="1">
      <alignment horizontal="justify" vertical="top" wrapText="1"/>
    </xf>
    <xf numFmtId="43" fontId="8" fillId="0" borderId="0" xfId="0" applyNumberFormat="1" applyFont="1" applyAlignment="1">
      <alignment/>
    </xf>
    <xf numFmtId="43" fontId="5" fillId="0" borderId="0" xfId="42" applyFont="1" applyBorder="1" applyAlignment="1">
      <alignment vertical="top"/>
    </xf>
    <xf numFmtId="9" fontId="0" fillId="0" borderId="0" xfId="60" applyFont="1" applyAlignment="1">
      <alignment/>
    </xf>
    <xf numFmtId="0" fontId="13" fillId="24" borderId="0" xfId="0" applyFont="1" applyFill="1" applyAlignment="1">
      <alignment horizontal="justify" vertical="top" wrapText="1"/>
    </xf>
    <xf numFmtId="0" fontId="2" fillId="0" borderId="0" xfId="0" applyFont="1" applyAlignment="1" quotePrefix="1">
      <alignment horizontal="left"/>
    </xf>
    <xf numFmtId="0" fontId="21" fillId="0" borderId="0" xfId="0" applyFont="1" applyAlignment="1">
      <alignment horizontal="left"/>
    </xf>
    <xf numFmtId="0" fontId="13" fillId="24" borderId="0" xfId="0" applyNumberFormat="1" applyFont="1" applyFill="1" applyAlignment="1">
      <alignment horizontal="justify" vertical="top" wrapText="1"/>
    </xf>
    <xf numFmtId="0" fontId="13" fillId="24" borderId="0" xfId="0" applyFont="1" applyFill="1" applyAlignment="1">
      <alignment horizontal="justify" vertical="justify" wrapText="1"/>
    </xf>
    <xf numFmtId="0" fontId="21" fillId="0" borderId="0" xfId="0" applyFont="1" applyAlignment="1">
      <alignment horizontal="center"/>
    </xf>
    <xf numFmtId="0" fontId="5" fillId="0" borderId="0" xfId="0" applyFont="1" applyBorder="1" applyAlignment="1" quotePrefix="1">
      <alignment horizontal="right"/>
    </xf>
    <xf numFmtId="0" fontId="5" fillId="0" borderId="0" xfId="0" applyFont="1" applyBorder="1" applyAlignment="1" quotePrefix="1">
      <alignment horizontal="center"/>
    </xf>
    <xf numFmtId="0" fontId="5" fillId="0" borderId="0" xfId="0" applyFont="1" applyBorder="1" applyAlignment="1">
      <alignment horizontal="center" vertical="top"/>
    </xf>
    <xf numFmtId="43" fontId="6" fillId="0" borderId="0" xfId="42" applyFont="1" applyFill="1" applyBorder="1" applyAlignment="1" applyProtection="1">
      <alignment vertical="top"/>
      <protection/>
    </xf>
    <xf numFmtId="43" fontId="5" fillId="0" borderId="0" xfId="42" applyFont="1" applyFill="1" applyBorder="1" applyAlignment="1" applyProtection="1">
      <alignment vertical="top"/>
      <protection/>
    </xf>
    <xf numFmtId="43" fontId="6" fillId="0" borderId="0" xfId="42" applyFont="1" applyBorder="1" applyAlignment="1">
      <alignment vertical="top"/>
    </xf>
    <xf numFmtId="43" fontId="5" fillId="0" borderId="0" xfId="42" applyFont="1" applyFill="1" applyBorder="1" applyAlignment="1">
      <alignment vertical="top"/>
    </xf>
    <xf numFmtId="43" fontId="6" fillId="0" borderId="0" xfId="42" applyFont="1" applyFill="1" applyBorder="1" applyAlignment="1">
      <alignment vertical="top"/>
    </xf>
    <xf numFmtId="43" fontId="6" fillId="0" borderId="0" xfId="42" applyFont="1" applyFill="1" applyBorder="1" applyAlignment="1">
      <alignment horizontal="center" vertical="top"/>
    </xf>
    <xf numFmtId="49" fontId="6" fillId="0" borderId="0" xfId="42" applyNumberFormat="1" applyFont="1" applyFill="1" applyBorder="1" applyAlignment="1" quotePrefix="1">
      <alignment horizontal="right" vertical="top" wrapText="1"/>
    </xf>
    <xf numFmtId="3" fontId="6" fillId="0" borderId="0" xfId="42" applyNumberFormat="1" applyFont="1" applyFill="1" applyBorder="1" applyAlignment="1" applyProtection="1">
      <alignment horizontal="right" vertical="top" wrapText="1"/>
      <protection/>
    </xf>
    <xf numFmtId="10" fontId="6" fillId="0" borderId="0" xfId="42" applyNumberFormat="1" applyFont="1" applyFill="1" applyBorder="1" applyAlignment="1" applyProtection="1">
      <alignment horizontal="right" vertical="top" wrapText="1"/>
      <protection/>
    </xf>
    <xf numFmtId="0" fontId="0" fillId="24" borderId="0" xfId="0" applyFill="1" applyBorder="1" applyAlignment="1">
      <alignment horizontal="left" vertical="top" wrapText="1"/>
    </xf>
    <xf numFmtId="49" fontId="6" fillId="0" borderId="15" xfId="42" applyNumberFormat="1" applyFont="1" applyBorder="1" applyAlignment="1" quotePrefix="1">
      <alignment horizontal="right" vertical="top" wrapText="1"/>
    </xf>
    <xf numFmtId="0" fontId="5" fillId="0" borderId="15" xfId="0" applyFont="1" applyBorder="1" applyAlignment="1">
      <alignment horizontal="justify" vertical="top" wrapText="1"/>
    </xf>
    <xf numFmtId="43" fontId="6" fillId="0" borderId="0" xfId="0" applyNumberFormat="1" applyFont="1" applyAlignment="1">
      <alignment/>
    </xf>
    <xf numFmtId="0" fontId="24" fillId="0" borderId="0" xfId="0" applyFont="1" applyAlignment="1" quotePrefix="1">
      <alignment horizontal="left" vertical="justify"/>
    </xf>
    <xf numFmtId="0" fontId="0" fillId="0" borderId="15" xfId="0" applyFont="1" applyFill="1" applyBorder="1" applyAlignment="1">
      <alignment horizontal="justify" wrapText="1"/>
    </xf>
    <xf numFmtId="196" fontId="8" fillId="0" borderId="15" xfId="0" applyNumberFormat="1" applyFont="1" applyFill="1" applyBorder="1" applyAlignment="1">
      <alignment/>
    </xf>
    <xf numFmtId="0" fontId="8" fillId="0" borderId="0" xfId="0" applyFont="1" applyFill="1" applyAlignment="1">
      <alignment/>
    </xf>
    <xf numFmtId="0" fontId="5" fillId="0" borderId="11" xfId="0" applyFont="1" applyBorder="1" applyAlignment="1" quotePrefix="1">
      <alignment horizontal="right"/>
    </xf>
    <xf numFmtId="0" fontId="5" fillId="0" borderId="26" xfId="0" applyFont="1" applyBorder="1" applyAlignment="1">
      <alignment horizontal="center"/>
    </xf>
    <xf numFmtId="0" fontId="5" fillId="0" borderId="22" xfId="0" applyFont="1" applyBorder="1" applyAlignment="1">
      <alignment horizontal="center"/>
    </xf>
    <xf numFmtId="0" fontId="5" fillId="0" borderId="10" xfId="0" applyFont="1" applyBorder="1" applyAlignment="1">
      <alignment horizontal="center"/>
    </xf>
    <xf numFmtId="0" fontId="5" fillId="0" borderId="24" xfId="0" applyFont="1" applyBorder="1" applyAlignment="1">
      <alignment horizontal="center"/>
    </xf>
    <xf numFmtId="0" fontId="5" fillId="0" borderId="23" xfId="0" applyFont="1" applyBorder="1" applyAlignment="1">
      <alignment horizontal="center"/>
    </xf>
    <xf numFmtId="0" fontId="5" fillId="0" borderId="23" xfId="0" applyFont="1" applyBorder="1" applyAlignment="1">
      <alignment horizontal="center" vertical="top"/>
    </xf>
    <xf numFmtId="0" fontId="5" fillId="0" borderId="20" xfId="0" applyFont="1" applyBorder="1" applyAlignment="1">
      <alignment horizontal="center"/>
    </xf>
    <xf numFmtId="0" fontId="5" fillId="0" borderId="21" xfId="0" applyFont="1" applyBorder="1" applyAlignment="1">
      <alignment horizontal="center"/>
    </xf>
    <xf numFmtId="0" fontId="6" fillId="0" borderId="24" xfId="0" applyFont="1" applyBorder="1" applyAlignment="1" quotePrefix="1">
      <alignment horizontal="center" vertical="top"/>
    </xf>
    <xf numFmtId="0" fontId="5" fillId="0" borderId="22" xfId="0" applyFont="1" applyBorder="1" applyAlignment="1">
      <alignment vertical="top"/>
    </xf>
    <xf numFmtId="0" fontId="5" fillId="0" borderId="15" xfId="0" applyFont="1" applyBorder="1" applyAlignment="1">
      <alignment vertical="top"/>
    </xf>
    <xf numFmtId="0" fontId="5" fillId="0" borderId="21" xfId="0" applyFont="1" applyBorder="1" applyAlignment="1">
      <alignment horizontal="center" vertical="top"/>
    </xf>
    <xf numFmtId="0" fontId="6" fillId="0" borderId="15" xfId="0" applyFont="1" applyBorder="1" applyAlignment="1">
      <alignment/>
    </xf>
    <xf numFmtId="43" fontId="9" fillId="0" borderId="27" xfId="42" applyFont="1" applyFill="1" applyBorder="1" applyAlignment="1" applyProtection="1">
      <alignment/>
      <protection/>
    </xf>
    <xf numFmtId="43" fontId="8" fillId="0" borderId="27" xfId="42" applyFont="1" applyFill="1" applyBorder="1" applyAlignment="1" applyProtection="1">
      <alignment/>
      <protection/>
    </xf>
    <xf numFmtId="0" fontId="8" fillId="0" borderId="0" xfId="0" applyFont="1" applyBorder="1" applyAlignment="1">
      <alignment/>
    </xf>
    <xf numFmtId="43" fontId="9" fillId="0" borderId="0" xfId="42" applyFont="1" applyFill="1" applyBorder="1" applyAlignment="1" applyProtection="1">
      <alignment/>
      <protection/>
    </xf>
    <xf numFmtId="43" fontId="8" fillId="0" borderId="0" xfId="42" applyFont="1" applyFill="1" applyBorder="1" applyAlignment="1" applyProtection="1">
      <alignment/>
      <protection/>
    </xf>
    <xf numFmtId="0" fontId="5" fillId="0" borderId="15" xfId="0" applyFont="1" applyBorder="1" applyAlignment="1">
      <alignment horizontal="justify" vertical="top" wrapText="1"/>
    </xf>
    <xf numFmtId="0" fontId="5" fillId="0" borderId="16" xfId="0" applyFont="1" applyBorder="1" applyAlignment="1" quotePrefix="1">
      <alignment horizontal="left" vertical="top" wrapText="1"/>
    </xf>
    <xf numFmtId="0" fontId="5" fillId="0" borderId="21" xfId="0" applyFont="1" applyBorder="1" applyAlignment="1">
      <alignment horizontal="justify" vertical="top" wrapText="1"/>
    </xf>
    <xf numFmtId="0" fontId="5" fillId="0" borderId="19" xfId="0" applyFont="1" applyBorder="1" applyAlignment="1" quotePrefix="1">
      <alignment horizontal="justify" vertical="top" wrapText="1"/>
    </xf>
    <xf numFmtId="0" fontId="5" fillId="0" borderId="19" xfId="0" applyFont="1" applyBorder="1" applyAlignment="1">
      <alignment horizontal="justify" vertical="top" wrapText="1"/>
    </xf>
    <xf numFmtId="43" fontId="6" fillId="0" borderId="19" xfId="42" applyFont="1" applyFill="1" applyBorder="1" applyAlignment="1">
      <alignment vertical="top"/>
    </xf>
    <xf numFmtId="43" fontId="6" fillId="0" borderId="16" xfId="42" applyFont="1" applyFill="1" applyBorder="1" applyAlignment="1">
      <alignment vertical="top"/>
    </xf>
    <xf numFmtId="43" fontId="6" fillId="0" borderId="15" xfId="42" applyFont="1" applyFill="1" applyBorder="1" applyAlignment="1" applyProtection="1">
      <alignment vertical="top"/>
      <protection/>
    </xf>
    <xf numFmtId="0" fontId="9" fillId="0" borderId="28" xfId="0" applyFont="1" applyBorder="1" applyAlignment="1">
      <alignment horizontal="center" wrapText="1"/>
    </xf>
    <xf numFmtId="43" fontId="9" fillId="0" borderId="0" xfId="0" applyNumberFormat="1" applyFont="1" applyAlignment="1">
      <alignment/>
    </xf>
    <xf numFmtId="43" fontId="8" fillId="0" borderId="14" xfId="42" applyFont="1" applyFill="1" applyBorder="1" applyAlignment="1" applyProtection="1">
      <alignment/>
      <protection/>
    </xf>
    <xf numFmtId="43" fontId="9" fillId="0" borderId="15" xfId="42" applyFont="1" applyFill="1" applyBorder="1" applyAlignment="1" applyProtection="1">
      <alignment/>
      <protection/>
    </xf>
    <xf numFmtId="196" fontId="8" fillId="0" borderId="0" xfId="0" applyNumberFormat="1" applyFont="1" applyBorder="1" applyAlignment="1">
      <alignment/>
    </xf>
    <xf numFmtId="196" fontId="8" fillId="24" borderId="0" xfId="0" applyNumberFormat="1" applyFont="1" applyFill="1" applyBorder="1" applyAlignment="1">
      <alignment/>
    </xf>
    <xf numFmtId="196" fontId="8" fillId="0" borderId="0" xfId="0" applyNumberFormat="1" applyFont="1" applyFill="1" applyBorder="1" applyAlignment="1">
      <alignment/>
    </xf>
    <xf numFmtId="43" fontId="5" fillId="0" borderId="19" xfId="42" applyFont="1" applyFill="1" applyBorder="1" applyAlignment="1">
      <alignment vertical="top"/>
    </xf>
    <xf numFmtId="0" fontId="8" fillId="24" borderId="0" xfId="0" applyFont="1" applyFill="1" applyAlignment="1">
      <alignment/>
    </xf>
    <xf numFmtId="43" fontId="8" fillId="24" borderId="0" xfId="0" applyNumberFormat="1" applyFont="1" applyFill="1" applyAlignment="1">
      <alignment/>
    </xf>
    <xf numFmtId="43" fontId="8" fillId="0" borderId="0" xfId="0" applyNumberFormat="1" applyFont="1" applyFill="1" applyAlignment="1">
      <alignment/>
    </xf>
    <xf numFmtId="196" fontId="9" fillId="0" borderId="15" xfId="0" applyNumberFormat="1" applyFont="1" applyFill="1" applyBorder="1" applyAlignment="1">
      <alignment/>
    </xf>
    <xf numFmtId="43" fontId="8" fillId="0" borderId="0" xfId="0" applyNumberFormat="1" applyFont="1" applyFill="1" applyBorder="1" applyAlignment="1">
      <alignment/>
    </xf>
    <xf numFmtId="0" fontId="8" fillId="0" borderId="0" xfId="0" applyFont="1" applyFill="1" applyBorder="1" applyAlignment="1">
      <alignment/>
    </xf>
    <xf numFmtId="0" fontId="5" fillId="0" borderId="23" xfId="0" applyFont="1" applyFill="1" applyBorder="1" applyAlignment="1">
      <alignment horizontal="center" vertical="top"/>
    </xf>
    <xf numFmtId="0" fontId="22" fillId="0" borderId="0" xfId="0" applyFont="1" applyFill="1" applyAlignment="1">
      <alignment/>
    </xf>
    <xf numFmtId="0" fontId="9" fillId="0" borderId="12" xfId="0" applyFont="1" applyFill="1" applyBorder="1" applyAlignment="1">
      <alignment horizontal="center" wrapText="1"/>
    </xf>
    <xf numFmtId="0" fontId="3" fillId="0" borderId="16" xfId="0" applyFont="1" applyFill="1" applyBorder="1" applyAlignment="1" quotePrefix="1">
      <alignment horizontal="justify" vertical="top" wrapText="1"/>
    </xf>
    <xf numFmtId="0" fontId="3" fillId="0" borderId="15" xfId="0" applyFont="1" applyFill="1" applyBorder="1" applyAlignment="1">
      <alignment horizontal="justify" wrapText="1"/>
    </xf>
    <xf numFmtId="196" fontId="8" fillId="0" borderId="0" xfId="0" applyNumberFormat="1" applyFont="1" applyFill="1" applyAlignment="1">
      <alignment/>
    </xf>
    <xf numFmtId="0" fontId="9" fillId="24" borderId="0" xfId="0" applyFont="1" applyFill="1" applyBorder="1" applyAlignment="1">
      <alignment horizontal="center" wrapText="1"/>
    </xf>
    <xf numFmtId="0" fontId="8" fillId="24" borderId="0" xfId="0" applyFont="1" applyFill="1" applyBorder="1" applyAlignment="1">
      <alignment/>
    </xf>
    <xf numFmtId="43" fontId="8" fillId="24" borderId="0" xfId="42" applyFont="1" applyFill="1" applyBorder="1" applyAlignment="1" applyProtection="1">
      <alignment/>
      <protection/>
    </xf>
    <xf numFmtId="196" fontId="9" fillId="24" borderId="0" xfId="0" applyNumberFormat="1" applyFont="1" applyFill="1" applyBorder="1" applyAlignment="1">
      <alignment/>
    </xf>
    <xf numFmtId="196" fontId="8" fillId="24" borderId="0" xfId="0" applyNumberFormat="1" applyFont="1" applyFill="1" applyAlignment="1">
      <alignment/>
    </xf>
    <xf numFmtId="10" fontId="8" fillId="24" borderId="0" xfId="60" applyNumberFormat="1" applyFont="1" applyFill="1" applyAlignment="1">
      <alignment/>
    </xf>
    <xf numFmtId="43" fontId="8" fillId="24" borderId="0" xfId="42" applyFont="1" applyFill="1" applyAlignment="1">
      <alignment/>
    </xf>
    <xf numFmtId="43" fontId="8" fillId="24" borderId="0" xfId="42" applyFont="1" applyFill="1" applyBorder="1" applyAlignment="1">
      <alignment/>
    </xf>
    <xf numFmtId="43" fontId="5" fillId="0" borderId="15" xfId="42" applyFont="1" applyFill="1" applyBorder="1" applyAlignment="1">
      <alignment vertical="top"/>
    </xf>
    <xf numFmtId="49" fontId="6" fillId="0" borderId="20" xfId="42" applyNumberFormat="1" applyFont="1" applyFill="1" applyBorder="1" applyAlignment="1" applyProtection="1">
      <alignment horizontal="right" vertical="top" wrapText="1"/>
      <protection/>
    </xf>
    <xf numFmtId="0" fontId="6" fillId="0" borderId="15" xfId="0" applyFont="1" applyFill="1" applyBorder="1" applyAlignment="1">
      <alignment horizontal="center" vertical="top"/>
    </xf>
    <xf numFmtId="0" fontId="6" fillId="0" borderId="15" xfId="0" applyFont="1" applyFill="1" applyBorder="1" applyAlignment="1" quotePrefix="1">
      <alignment horizontal="center" vertical="top"/>
    </xf>
    <xf numFmtId="0" fontId="6" fillId="0" borderId="21" xfId="0" applyFont="1" applyFill="1" applyBorder="1" applyAlignment="1">
      <alignment horizontal="center" vertical="top"/>
    </xf>
    <xf numFmtId="0" fontId="6" fillId="0" borderId="19" xfId="0" applyFont="1" applyFill="1" applyBorder="1" applyAlignment="1" quotePrefix="1">
      <alignment horizontal="center" vertical="top"/>
    </xf>
    <xf numFmtId="0" fontId="6" fillId="0" borderId="18" xfId="0" applyFont="1" applyFill="1" applyBorder="1" applyAlignment="1" quotePrefix="1">
      <alignment horizontal="center" vertical="top"/>
    </xf>
    <xf numFmtId="43" fontId="5" fillId="0" borderId="21" xfId="42" applyFont="1" applyFill="1" applyBorder="1" applyAlignment="1">
      <alignment vertical="top"/>
    </xf>
    <xf numFmtId="0" fontId="6" fillId="0" borderId="21" xfId="0" applyFont="1" applyFill="1" applyBorder="1" applyAlignment="1">
      <alignment horizontal="center"/>
    </xf>
    <xf numFmtId="0" fontId="22" fillId="0" borderId="12" xfId="0" applyFont="1" applyFill="1" applyBorder="1" applyAlignment="1">
      <alignment horizontal="center" wrapText="1"/>
    </xf>
    <xf numFmtId="43" fontId="27" fillId="0" borderId="13" xfId="42" applyFont="1" applyFill="1" applyBorder="1" applyAlignment="1" applyProtection="1">
      <alignment/>
      <protection/>
    </xf>
    <xf numFmtId="43" fontId="22" fillId="0" borderId="13" xfId="42" applyFont="1" applyFill="1" applyBorder="1" applyAlignment="1" applyProtection="1">
      <alignment/>
      <protection/>
    </xf>
    <xf numFmtId="43" fontId="27" fillId="0" borderId="12" xfId="42" applyFont="1" applyFill="1" applyBorder="1" applyAlignment="1" applyProtection="1">
      <alignment/>
      <protection/>
    </xf>
    <xf numFmtId="43" fontId="22" fillId="0" borderId="29" xfId="42" applyFont="1" applyFill="1" applyBorder="1" applyAlignment="1" applyProtection="1">
      <alignment/>
      <protection/>
    </xf>
    <xf numFmtId="0" fontId="27" fillId="0" borderId="0" xfId="0" applyFont="1" applyFill="1" applyAlignment="1">
      <alignment/>
    </xf>
    <xf numFmtId="43" fontId="22" fillId="0" borderId="0" xfId="0" applyNumberFormat="1" applyFont="1" applyFill="1" applyAlignment="1">
      <alignment/>
    </xf>
    <xf numFmtId="43" fontId="22" fillId="0" borderId="13" xfId="0" applyNumberFormat="1" applyFont="1" applyFill="1" applyBorder="1" applyAlignment="1">
      <alignment/>
    </xf>
    <xf numFmtId="0" fontId="22" fillId="0" borderId="13" xfId="0" applyFont="1" applyFill="1" applyBorder="1" applyAlignment="1">
      <alignment/>
    </xf>
    <xf numFmtId="0" fontId="22" fillId="0" borderId="13" xfId="0" applyFont="1" applyFill="1" applyBorder="1" applyAlignment="1">
      <alignment horizontal="center"/>
    </xf>
    <xf numFmtId="0" fontId="27" fillId="0" borderId="13" xfId="0" applyFont="1" applyFill="1" applyBorder="1" applyAlignment="1">
      <alignment horizontal="center"/>
    </xf>
    <xf numFmtId="0" fontId="22" fillId="0" borderId="14" xfId="0" applyFont="1" applyFill="1" applyBorder="1" applyAlignment="1">
      <alignment horizontal="center" wrapText="1"/>
    </xf>
    <xf numFmtId="0" fontId="27" fillId="0" borderId="13" xfId="0" applyFont="1" applyFill="1" applyBorder="1" applyAlignment="1">
      <alignment/>
    </xf>
    <xf numFmtId="0" fontId="22" fillId="0" borderId="13" xfId="0" applyFont="1" applyFill="1" applyBorder="1" applyAlignment="1">
      <alignment/>
    </xf>
    <xf numFmtId="0" fontId="22" fillId="0" borderId="13" xfId="0" applyFont="1" applyFill="1" applyBorder="1" applyAlignment="1">
      <alignment horizontal="left"/>
    </xf>
    <xf numFmtId="43" fontId="27" fillId="0" borderId="13" xfId="0" applyNumberFormat="1" applyFont="1" applyFill="1" applyBorder="1" applyAlignment="1">
      <alignment/>
    </xf>
    <xf numFmtId="0" fontId="27" fillId="0" borderId="13" xfId="0" applyFont="1" applyFill="1" applyBorder="1" applyAlignment="1">
      <alignment horizontal="left"/>
    </xf>
    <xf numFmtId="0" fontId="27" fillId="0" borderId="12" xfId="0" applyFont="1" applyFill="1" applyBorder="1" applyAlignment="1">
      <alignment horizontal="center"/>
    </xf>
    <xf numFmtId="0" fontId="27" fillId="0" borderId="30" xfId="0" applyFont="1" applyFill="1" applyBorder="1" applyAlignment="1">
      <alignment horizontal="center"/>
    </xf>
    <xf numFmtId="0" fontId="5" fillId="0" borderId="31" xfId="0" applyFont="1" applyFill="1" applyBorder="1" applyAlignment="1">
      <alignment/>
    </xf>
    <xf numFmtId="0" fontId="5" fillId="0" borderId="15" xfId="0" applyFont="1" applyFill="1" applyBorder="1" applyAlignment="1">
      <alignment horizontal="left" vertical="top" wrapText="1"/>
    </xf>
    <xf numFmtId="0" fontId="27" fillId="0" borderId="12" xfId="0" applyFont="1" applyFill="1" applyBorder="1" applyAlignment="1">
      <alignment horizontal="justify" vertical="top" wrapText="1"/>
    </xf>
    <xf numFmtId="0" fontId="27" fillId="0" borderId="15" xfId="0" applyFont="1" applyFill="1" applyBorder="1" applyAlignment="1">
      <alignment horizontal="center"/>
    </xf>
    <xf numFmtId="0" fontId="27" fillId="0" borderId="15" xfId="0" applyFont="1" applyFill="1" applyBorder="1" applyAlignment="1">
      <alignment/>
    </xf>
    <xf numFmtId="43" fontId="27" fillId="0" borderId="15" xfId="42" applyFont="1" applyFill="1" applyBorder="1" applyAlignment="1" applyProtection="1">
      <alignment/>
      <protection/>
    </xf>
    <xf numFmtId="0" fontId="8" fillId="0" borderId="12" xfId="0" applyFont="1" applyFill="1" applyBorder="1" applyAlignment="1">
      <alignment horizontal="justify" vertical="top" wrapText="1"/>
    </xf>
    <xf numFmtId="0" fontId="0" fillId="25" borderId="0" xfId="0" applyFill="1" applyAlignment="1">
      <alignment/>
    </xf>
    <xf numFmtId="0" fontId="6" fillId="25" borderId="0" xfId="0" applyFont="1" applyFill="1" applyAlignment="1">
      <alignment/>
    </xf>
    <xf numFmtId="0" fontId="28" fillId="25" borderId="0" xfId="0" applyFont="1" applyFill="1" applyAlignment="1">
      <alignment horizontal="left"/>
    </xf>
    <xf numFmtId="0" fontId="28" fillId="25" borderId="0" xfId="0" applyFont="1" applyFill="1" applyAlignment="1" quotePrefix="1">
      <alignment horizontal="left"/>
    </xf>
    <xf numFmtId="0" fontId="5" fillId="25" borderId="0" xfId="0" applyFont="1" applyFill="1" applyAlignment="1">
      <alignment/>
    </xf>
    <xf numFmtId="0" fontId="0" fillId="25" borderId="0" xfId="0" applyFill="1" applyBorder="1" applyAlignment="1">
      <alignment/>
    </xf>
    <xf numFmtId="0" fontId="3" fillId="25" borderId="0" xfId="0" applyFont="1" applyFill="1" applyAlignment="1">
      <alignment horizontal="center"/>
    </xf>
    <xf numFmtId="0" fontId="6" fillId="0" borderId="15" xfId="0" applyFont="1" applyFill="1" applyBorder="1" applyAlignment="1">
      <alignment horizontal="justify" vertical="top"/>
    </xf>
    <xf numFmtId="43" fontId="5" fillId="0" borderId="32" xfId="42" applyFont="1" applyFill="1" applyBorder="1" applyAlignment="1">
      <alignment vertical="top"/>
    </xf>
    <xf numFmtId="0" fontId="5" fillId="0" borderId="24" xfId="0" applyFont="1" applyFill="1" applyBorder="1" applyAlignment="1">
      <alignment/>
    </xf>
    <xf numFmtId="0" fontId="5" fillId="0" borderId="10" xfId="0" applyFont="1" applyFill="1" applyBorder="1" applyAlignment="1">
      <alignment horizontal="center"/>
    </xf>
    <xf numFmtId="0" fontId="5" fillId="0" borderId="10" xfId="0" applyFont="1" applyFill="1" applyBorder="1" applyAlignment="1" quotePrefix="1">
      <alignment horizontal="center"/>
    </xf>
    <xf numFmtId="0" fontId="5" fillId="0" borderId="20" xfId="0" applyFont="1" applyFill="1" applyBorder="1" applyAlignment="1">
      <alignment/>
    </xf>
    <xf numFmtId="0" fontId="5" fillId="0" borderId="21" xfId="0" applyFont="1" applyFill="1" applyBorder="1" applyAlignment="1">
      <alignment/>
    </xf>
    <xf numFmtId="0" fontId="5" fillId="0" borderId="15" xfId="0" applyFont="1" applyFill="1" applyBorder="1" applyAlignment="1">
      <alignment horizontal="center" vertical="top"/>
    </xf>
    <xf numFmtId="0" fontId="5" fillId="0" borderId="16" xfId="0" applyFont="1" applyFill="1" applyBorder="1" applyAlignment="1">
      <alignment horizontal="left" vertical="top" wrapText="1"/>
    </xf>
    <xf numFmtId="49" fontId="6" fillId="0" borderId="17" xfId="42" applyNumberFormat="1" applyFont="1" applyFill="1" applyBorder="1" applyAlignment="1">
      <alignment horizontal="right" wrapText="1"/>
    </xf>
    <xf numFmtId="0" fontId="6" fillId="0" borderId="31" xfId="0" applyFont="1" applyFill="1" applyBorder="1" applyAlignment="1" quotePrefix="1">
      <alignment horizontal="justify" vertical="top"/>
    </xf>
    <xf numFmtId="0" fontId="6" fillId="0" borderId="18" xfId="0" applyFont="1" applyFill="1" applyBorder="1" applyAlignment="1" quotePrefix="1">
      <alignment horizontal="justify" vertical="top"/>
    </xf>
    <xf numFmtId="10" fontId="6" fillId="0" borderId="11" xfId="42" applyNumberFormat="1" applyFont="1" applyFill="1" applyBorder="1" applyAlignment="1" applyProtection="1">
      <alignment horizontal="right" vertical="top" wrapText="1"/>
      <protection/>
    </xf>
    <xf numFmtId="0" fontId="6" fillId="0" borderId="0" xfId="0" applyFont="1" applyFill="1" applyBorder="1" applyAlignment="1" quotePrefix="1">
      <alignment horizontal="justify" vertical="top"/>
    </xf>
    <xf numFmtId="43" fontId="8" fillId="0" borderId="0" xfId="0" applyNumberFormat="1" applyFont="1" applyBorder="1" applyAlignment="1">
      <alignment/>
    </xf>
    <xf numFmtId="43" fontId="27" fillId="0" borderId="0" xfId="42" applyFont="1" applyFill="1" applyBorder="1" applyAlignment="1" applyProtection="1">
      <alignment/>
      <protection/>
    </xf>
    <xf numFmtId="0" fontId="3" fillId="0" borderId="0" xfId="0" applyFont="1" applyAlignment="1">
      <alignment horizontal="center"/>
    </xf>
    <xf numFmtId="15" fontId="3" fillId="0" borderId="0" xfId="0" applyNumberFormat="1" applyFont="1" applyAlignment="1">
      <alignment horizontal="center"/>
    </xf>
    <xf numFmtId="0" fontId="3" fillId="0" borderId="0" xfId="0" applyFont="1" applyAlignment="1">
      <alignment horizontal="right"/>
    </xf>
    <xf numFmtId="10" fontId="6" fillId="0" borderId="20" xfId="42" applyNumberFormat="1" applyFont="1" applyFill="1" applyBorder="1" applyAlignment="1" applyProtection="1">
      <alignment horizontal="center" vertical="top" wrapText="1"/>
      <protection/>
    </xf>
    <xf numFmtId="43" fontId="24" fillId="0" borderId="0" xfId="42" applyFont="1" applyBorder="1" applyAlignment="1">
      <alignment horizontal="center" vertical="center" wrapText="1"/>
    </xf>
    <xf numFmtId="0" fontId="29" fillId="0" borderId="0" xfId="0" applyFont="1" applyAlignment="1">
      <alignment/>
    </xf>
    <xf numFmtId="43" fontId="24" fillId="0" borderId="11" xfId="42" applyFont="1" applyBorder="1" applyAlignment="1">
      <alignment horizontal="center" vertical="center" wrapText="1"/>
    </xf>
    <xf numFmtId="0" fontId="24" fillId="0" borderId="15" xfId="0" applyFont="1" applyFill="1" applyBorder="1" applyAlignment="1">
      <alignment horizontal="center"/>
    </xf>
    <xf numFmtId="0" fontId="24" fillId="0" borderId="33" xfId="0" applyFont="1" applyFill="1" applyBorder="1" applyAlignment="1">
      <alignment horizontal="center"/>
    </xf>
    <xf numFmtId="0" fontId="24" fillId="0" borderId="34" xfId="0" applyFont="1" applyBorder="1" applyAlignment="1">
      <alignment horizontal="center"/>
    </xf>
    <xf numFmtId="0" fontId="24" fillId="0" borderId="21" xfId="0" applyFont="1" applyBorder="1" applyAlignment="1">
      <alignment horizontal="center"/>
    </xf>
    <xf numFmtId="43" fontId="24" fillId="0" borderId="21" xfId="42" applyFont="1" applyBorder="1" applyAlignment="1">
      <alignment vertical="center" wrapText="1"/>
    </xf>
    <xf numFmtId="0" fontId="24" fillId="0" borderId="35" xfId="0" applyFont="1" applyBorder="1" applyAlignment="1">
      <alignment horizontal="center"/>
    </xf>
    <xf numFmtId="0" fontId="24" fillId="0" borderId="35" xfId="0" applyFont="1" applyFill="1" applyBorder="1" applyAlignment="1">
      <alignment horizontal="center"/>
    </xf>
    <xf numFmtId="0" fontId="29" fillId="0" borderId="15" xfId="0" applyFont="1" applyBorder="1" applyAlignment="1">
      <alignment horizontal="center"/>
    </xf>
    <xf numFmtId="43" fontId="24" fillId="0" borderId="15" xfId="42" applyFont="1" applyBorder="1" applyAlignment="1">
      <alignment/>
    </xf>
    <xf numFmtId="196" fontId="29" fillId="0" borderId="36" xfId="42" applyNumberFormat="1" applyFont="1" applyFill="1" applyBorder="1" applyAlignment="1" applyProtection="1">
      <alignment/>
      <protection/>
    </xf>
    <xf numFmtId="196" fontId="29" fillId="0" borderId="13" xfId="42" applyNumberFormat="1" applyFont="1" applyFill="1" applyBorder="1" applyAlignment="1" applyProtection="1">
      <alignment/>
      <protection/>
    </xf>
    <xf numFmtId="0" fontId="29" fillId="0" borderId="15" xfId="0" applyFont="1" applyBorder="1" applyAlignment="1">
      <alignment horizontal="left" indent="1"/>
    </xf>
    <xf numFmtId="43" fontId="29" fillId="0" borderId="15" xfId="42" applyFont="1" applyBorder="1" applyAlignment="1">
      <alignment/>
    </xf>
    <xf numFmtId="196" fontId="24" fillId="0" borderId="36" xfId="42" applyNumberFormat="1" applyFont="1" applyFill="1" applyBorder="1" applyAlignment="1" applyProtection="1">
      <alignment/>
      <protection/>
    </xf>
    <xf numFmtId="0" fontId="24" fillId="0" borderId="15" xfId="0" applyFont="1" applyBorder="1" applyAlignment="1">
      <alignment horizontal="left" indent="1"/>
    </xf>
    <xf numFmtId="196" fontId="29" fillId="0" borderId="37" xfId="42" applyNumberFormat="1" applyFont="1" applyFill="1" applyBorder="1" applyAlignment="1" applyProtection="1">
      <alignment/>
      <protection/>
    </xf>
    <xf numFmtId="196" fontId="29" fillId="0" borderId="12" xfId="42" applyNumberFormat="1" applyFont="1" applyFill="1" applyBorder="1" applyAlignment="1" applyProtection="1">
      <alignment/>
      <protection/>
    </xf>
    <xf numFmtId="196" fontId="24" fillId="0" borderId="37" xfId="42" applyNumberFormat="1" applyFont="1" applyFill="1" applyBorder="1" applyAlignment="1" applyProtection="1">
      <alignment/>
      <protection/>
    </xf>
    <xf numFmtId="0" fontId="24" fillId="0" borderId="15" xfId="0" applyFont="1" applyBorder="1" applyAlignment="1">
      <alignment horizontal="center"/>
    </xf>
    <xf numFmtId="43" fontId="29" fillId="0" borderId="38" xfId="42" applyFont="1" applyBorder="1" applyAlignment="1">
      <alignment horizontal="left" wrapText="1"/>
    </xf>
    <xf numFmtId="196" fontId="29" fillId="0" borderId="15" xfId="42" applyNumberFormat="1" applyFont="1" applyFill="1" applyBorder="1" applyAlignment="1" applyProtection="1">
      <alignment/>
      <protection/>
    </xf>
    <xf numFmtId="43" fontId="24" fillId="0" borderId="19" xfId="42" applyFont="1" applyBorder="1" applyAlignment="1">
      <alignment/>
    </xf>
    <xf numFmtId="196" fontId="24" fillId="0" borderId="15" xfId="42" applyNumberFormat="1" applyFont="1" applyFill="1" applyBorder="1" applyAlignment="1" applyProtection="1">
      <alignment/>
      <protection/>
    </xf>
    <xf numFmtId="43" fontId="24" fillId="0" borderId="19" xfId="42" applyFont="1" applyBorder="1" applyAlignment="1">
      <alignment horizontal="left"/>
    </xf>
    <xf numFmtId="43" fontId="24" fillId="0" borderId="39" xfId="42" applyFont="1" applyBorder="1" applyAlignment="1">
      <alignment/>
    </xf>
    <xf numFmtId="43" fontId="29" fillId="0" borderId="39" xfId="42" applyFont="1" applyBorder="1" applyAlignment="1">
      <alignment/>
    </xf>
    <xf numFmtId="196" fontId="29" fillId="0" borderId="40" xfId="42" applyNumberFormat="1" applyFont="1" applyFill="1" applyBorder="1" applyAlignment="1" applyProtection="1">
      <alignment/>
      <protection/>
    </xf>
    <xf numFmtId="196" fontId="29" fillId="0" borderId="14" xfId="42" applyNumberFormat="1" applyFont="1" applyFill="1" applyBorder="1" applyAlignment="1" applyProtection="1">
      <alignment/>
      <protection/>
    </xf>
    <xf numFmtId="196" fontId="24" fillId="0" borderId="14" xfId="42" applyNumberFormat="1" applyFont="1" applyFill="1" applyBorder="1" applyAlignment="1" applyProtection="1">
      <alignment/>
      <protection/>
    </xf>
    <xf numFmtId="43" fontId="24" fillId="0" borderId="31" xfId="42" applyFont="1" applyBorder="1" applyAlignment="1">
      <alignment/>
    </xf>
    <xf numFmtId="43" fontId="29" fillId="0" borderId="41" xfId="42" applyFont="1" applyBorder="1" applyAlignment="1">
      <alignment/>
    </xf>
    <xf numFmtId="0" fontId="29" fillId="0" borderId="15" xfId="0" applyFont="1" applyBorder="1" applyAlignment="1">
      <alignment/>
    </xf>
    <xf numFmtId="43" fontId="29" fillId="0" borderId="42" xfId="42" applyFont="1" applyBorder="1" applyAlignment="1">
      <alignment/>
    </xf>
    <xf numFmtId="43" fontId="24" fillId="0" borderId="30" xfId="42" applyFont="1" applyBorder="1" applyAlignment="1">
      <alignment horizontal="left"/>
    </xf>
    <xf numFmtId="196" fontId="24" fillId="0" borderId="43" xfId="42" applyNumberFormat="1" applyFont="1" applyFill="1" applyBorder="1" applyAlignment="1" applyProtection="1">
      <alignment/>
      <protection/>
    </xf>
    <xf numFmtId="43" fontId="29" fillId="0" borderId="0" xfId="42" applyFont="1" applyBorder="1" applyAlignment="1">
      <alignment horizontal="left"/>
    </xf>
    <xf numFmtId="43" fontId="29" fillId="0" borderId="0" xfId="0" applyNumberFormat="1" applyFont="1" applyAlignment="1">
      <alignment/>
    </xf>
    <xf numFmtId="0" fontId="0" fillId="0" borderId="0" xfId="0" applyFont="1" applyAlignment="1">
      <alignment/>
    </xf>
    <xf numFmtId="49" fontId="6" fillId="0" borderId="15" xfId="42" applyNumberFormat="1" applyFont="1" applyFill="1" applyBorder="1" applyAlignment="1">
      <alignment horizontal="center" vertical="top" wrapText="1"/>
    </xf>
    <xf numFmtId="43" fontId="6" fillId="0" borderId="24" xfId="42" applyFont="1" applyFill="1" applyBorder="1" applyAlignment="1" applyProtection="1">
      <alignment horizontal="center" vertical="top" wrapText="1"/>
      <protection/>
    </xf>
    <xf numFmtId="49" fontId="6" fillId="0" borderId="20" xfId="42" applyNumberFormat="1" applyFont="1" applyFill="1" applyBorder="1" applyAlignment="1">
      <alignment horizontal="center" vertical="top" wrapText="1"/>
    </xf>
    <xf numFmtId="43" fontId="6" fillId="0" borderId="21" xfId="42" applyFont="1" applyFill="1" applyBorder="1" applyAlignment="1" applyProtection="1">
      <alignment horizontal="center" vertical="top" wrapText="1"/>
      <protection/>
    </xf>
    <xf numFmtId="43" fontId="27" fillId="0" borderId="27" xfId="42" applyFont="1" applyFill="1" applyBorder="1" applyAlignment="1" applyProtection="1">
      <alignment/>
      <protection/>
    </xf>
    <xf numFmtId="43" fontId="22" fillId="0" borderId="27" xfId="42" applyFont="1" applyFill="1" applyBorder="1" applyAlignment="1" applyProtection="1">
      <alignment/>
      <protection/>
    </xf>
    <xf numFmtId="0" fontId="27" fillId="0" borderId="27" xfId="0" applyFont="1" applyFill="1" applyBorder="1" applyAlignment="1">
      <alignment/>
    </xf>
    <xf numFmtId="43" fontId="27" fillId="0" borderId="44" xfId="42" applyFont="1" applyFill="1" applyBorder="1" applyAlignment="1" applyProtection="1">
      <alignment/>
      <protection/>
    </xf>
    <xf numFmtId="43" fontId="27" fillId="0" borderId="19" xfId="42" applyFont="1" applyFill="1" applyBorder="1" applyAlignment="1" applyProtection="1">
      <alignment/>
      <protection/>
    </xf>
    <xf numFmtId="43" fontId="22" fillId="0" borderId="45" xfId="42" applyFont="1" applyFill="1" applyBorder="1" applyAlignment="1" applyProtection="1">
      <alignment/>
      <protection/>
    </xf>
    <xf numFmtId="43" fontId="9" fillId="0" borderId="19" xfId="42" applyFont="1" applyFill="1" applyBorder="1" applyAlignment="1" applyProtection="1">
      <alignment/>
      <protection/>
    </xf>
    <xf numFmtId="43" fontId="8" fillId="0" borderId="46" xfId="42" applyFont="1" applyFill="1" applyBorder="1" applyAlignment="1" applyProtection="1">
      <alignment/>
      <protection/>
    </xf>
    <xf numFmtId="196" fontId="9" fillId="0" borderId="19" xfId="0" applyNumberFormat="1" applyFont="1" applyFill="1" applyBorder="1" applyAlignment="1">
      <alignment/>
    </xf>
    <xf numFmtId="196" fontId="8" fillId="0" borderId="19" xfId="0" applyNumberFormat="1" applyFont="1" applyFill="1" applyBorder="1" applyAlignment="1">
      <alignment/>
    </xf>
    <xf numFmtId="43" fontId="8" fillId="24" borderId="0" xfId="0" applyNumberFormat="1" applyFont="1" applyFill="1" applyBorder="1" applyAlignment="1">
      <alignment/>
    </xf>
    <xf numFmtId="16" fontId="8" fillId="0" borderId="0" xfId="0" applyNumberFormat="1" applyFont="1" applyFill="1" applyBorder="1" applyAlignment="1" quotePrefix="1">
      <alignment/>
    </xf>
    <xf numFmtId="16" fontId="8" fillId="10" borderId="0" xfId="0" applyNumberFormat="1" applyFont="1" applyFill="1" applyBorder="1" applyAlignment="1" quotePrefix="1">
      <alignment/>
    </xf>
    <xf numFmtId="0" fontId="8" fillId="10" borderId="0" xfId="0" applyFont="1" applyFill="1" applyBorder="1" applyAlignment="1">
      <alignment/>
    </xf>
    <xf numFmtId="43" fontId="9" fillId="10" borderId="0" xfId="42" applyFont="1" applyFill="1" applyBorder="1" applyAlignment="1" applyProtection="1">
      <alignment/>
      <protection/>
    </xf>
    <xf numFmtId="43" fontId="8" fillId="10" borderId="0" xfId="0" applyNumberFormat="1" applyFont="1" applyFill="1" applyBorder="1" applyAlignment="1">
      <alignment/>
    </xf>
    <xf numFmtId="43" fontId="8" fillId="10" borderId="0" xfId="42" applyFont="1" applyFill="1" applyBorder="1" applyAlignment="1" applyProtection="1">
      <alignment/>
      <protection/>
    </xf>
    <xf numFmtId="196" fontId="9" fillId="0" borderId="0" xfId="0" applyNumberFormat="1" applyFont="1" applyFill="1" applyBorder="1" applyAlignment="1">
      <alignment/>
    </xf>
    <xf numFmtId="196" fontId="9" fillId="10" borderId="0" xfId="0" applyNumberFormat="1" applyFont="1" applyFill="1" applyBorder="1" applyAlignment="1">
      <alignment/>
    </xf>
    <xf numFmtId="43" fontId="27" fillId="0" borderId="27" xfId="0" applyNumberFormat="1" applyFont="1" applyFill="1" applyBorder="1" applyAlignment="1">
      <alignment horizontal="center"/>
    </xf>
    <xf numFmtId="0" fontId="22" fillId="0" borderId="44" xfId="0" applyFont="1" applyFill="1" applyBorder="1" applyAlignment="1">
      <alignment horizontal="center" wrapText="1"/>
    </xf>
    <xf numFmtId="0" fontId="27" fillId="0" borderId="47" xfId="0" applyFont="1" applyFill="1" applyBorder="1" applyAlignment="1">
      <alignment horizontal="center"/>
    </xf>
    <xf numFmtId="0" fontId="22" fillId="0" borderId="48" xfId="0" applyFont="1" applyFill="1" applyBorder="1" applyAlignment="1">
      <alignment horizontal="center" wrapText="1"/>
    </xf>
    <xf numFmtId="43" fontId="27" fillId="0" borderId="48" xfId="42" applyFont="1" applyFill="1" applyBorder="1" applyAlignment="1" applyProtection="1">
      <alignment/>
      <protection/>
    </xf>
    <xf numFmtId="43" fontId="22" fillId="0" borderId="48" xfId="42" applyFont="1" applyFill="1" applyBorder="1" applyAlignment="1" applyProtection="1">
      <alignment/>
      <protection/>
    </xf>
    <xf numFmtId="43" fontId="27" fillId="0" borderId="49" xfId="42" applyFont="1" applyFill="1" applyBorder="1" applyAlignment="1" applyProtection="1">
      <alignment/>
      <protection/>
    </xf>
    <xf numFmtId="43" fontId="22" fillId="0" borderId="15" xfId="42" applyFont="1" applyFill="1" applyBorder="1" applyAlignment="1" applyProtection="1">
      <alignment/>
      <protection/>
    </xf>
    <xf numFmtId="43" fontId="9" fillId="0" borderId="48" xfId="42" applyFont="1" applyFill="1" applyBorder="1" applyAlignment="1" applyProtection="1">
      <alignment/>
      <protection/>
    </xf>
    <xf numFmtId="0" fontId="8" fillId="0" borderId="48" xfId="0" applyFont="1" applyFill="1" applyBorder="1" applyAlignment="1">
      <alignment/>
    </xf>
    <xf numFmtId="43" fontId="8" fillId="0" borderId="48" xfId="42" applyFont="1" applyFill="1" applyBorder="1" applyAlignment="1" applyProtection="1">
      <alignment/>
      <protection/>
    </xf>
    <xf numFmtId="182" fontId="6" fillId="0" borderId="20" xfId="42" applyNumberFormat="1" applyFont="1" applyFill="1" applyBorder="1" applyAlignment="1" applyProtection="1">
      <alignment horizontal="right" vertical="top" wrapText="1"/>
      <protection/>
    </xf>
    <xf numFmtId="182" fontId="6" fillId="0" borderId="20" xfId="42" applyNumberFormat="1" applyFont="1" applyFill="1" applyBorder="1" applyAlignment="1" applyProtection="1" quotePrefix="1">
      <alignment horizontal="right" vertical="top" wrapText="1"/>
      <protection/>
    </xf>
    <xf numFmtId="0" fontId="24" fillId="0" borderId="22" xfId="0" applyFont="1" applyFill="1" applyBorder="1" applyAlignment="1">
      <alignment horizontal="center"/>
    </xf>
    <xf numFmtId="0" fontId="5" fillId="0" borderId="31" xfId="0" applyFont="1" applyFill="1" applyBorder="1" applyAlignment="1">
      <alignment horizontal="center"/>
    </xf>
    <xf numFmtId="49" fontId="6" fillId="0" borderId="15" xfId="42" applyNumberFormat="1" applyFont="1" applyFill="1" applyBorder="1" applyAlignment="1">
      <alignment horizontal="right" vertical="top" wrapText="1"/>
    </xf>
    <xf numFmtId="43" fontId="5" fillId="0" borderId="22" xfId="42" applyFont="1" applyFill="1" applyBorder="1" applyAlignment="1" applyProtection="1">
      <alignment vertical="top"/>
      <protection/>
    </xf>
    <xf numFmtId="0" fontId="6" fillId="0" borderId="19" xfId="0" applyFont="1" applyFill="1" applyBorder="1" applyAlignment="1">
      <alignment horizontal="justify" vertical="top"/>
    </xf>
    <xf numFmtId="0" fontId="5" fillId="0" borderId="16" xfId="0" applyFont="1" applyFill="1" applyBorder="1" applyAlignment="1">
      <alignment/>
    </xf>
    <xf numFmtId="0" fontId="5" fillId="0" borderId="18" xfId="0" applyFont="1" applyFill="1" applyBorder="1" applyAlignment="1">
      <alignment/>
    </xf>
    <xf numFmtId="0" fontId="6" fillId="0" borderId="18" xfId="0" applyFont="1" applyFill="1" applyBorder="1" applyAlignment="1">
      <alignment horizontal="center"/>
    </xf>
    <xf numFmtId="0" fontId="6" fillId="0" borderId="19" xfId="0" applyFont="1" applyFill="1" applyBorder="1" applyAlignment="1">
      <alignment horizontal="center" vertical="top"/>
    </xf>
    <xf numFmtId="0" fontId="6" fillId="0" borderId="18" xfId="0" applyFont="1" applyFill="1" applyBorder="1" applyAlignment="1">
      <alignment horizontal="center" vertical="top"/>
    </xf>
    <xf numFmtId="0" fontId="6" fillId="0" borderId="32" xfId="0" applyFont="1" applyFill="1" applyBorder="1" applyAlignment="1" quotePrefix="1">
      <alignment horizontal="center" vertical="top"/>
    </xf>
    <xf numFmtId="0" fontId="5" fillId="0" borderId="19" xfId="0" applyFont="1" applyFill="1" applyBorder="1" applyAlignment="1">
      <alignment horizontal="left" vertical="top" wrapText="1"/>
    </xf>
    <xf numFmtId="0" fontId="6" fillId="0" borderId="16" xfId="0" applyFont="1" applyFill="1" applyBorder="1" applyAlignment="1">
      <alignment horizontal="center" vertical="top"/>
    </xf>
    <xf numFmtId="0" fontId="6" fillId="0" borderId="31" xfId="0" applyFont="1" applyFill="1" applyBorder="1" applyAlignment="1">
      <alignment horizontal="center" vertical="top"/>
    </xf>
    <xf numFmtId="0" fontId="6" fillId="0" borderId="31" xfId="0" applyFont="1" applyFill="1" applyBorder="1" applyAlignment="1">
      <alignment horizontal="center" vertical="top" wrapText="1"/>
    </xf>
    <xf numFmtId="0" fontId="6" fillId="0" borderId="18" xfId="0" applyFont="1" applyFill="1" applyBorder="1" applyAlignment="1">
      <alignment horizontal="center" vertical="top" wrapText="1"/>
    </xf>
    <xf numFmtId="10" fontId="6" fillId="0" borderId="0" xfId="42" applyNumberFormat="1" applyFont="1" applyFill="1" applyBorder="1" applyAlignment="1" applyProtection="1">
      <alignment horizontal="center" vertical="top" wrapText="1"/>
      <protection/>
    </xf>
    <xf numFmtId="43" fontId="5" fillId="0" borderId="22" xfId="42" applyFont="1" applyFill="1" applyBorder="1" applyAlignment="1">
      <alignment vertical="top"/>
    </xf>
    <xf numFmtId="43" fontId="5" fillId="0" borderId="15" xfId="42" applyFont="1" applyFill="1" applyBorder="1" applyAlignment="1" applyProtection="1">
      <alignment vertical="top"/>
      <protection/>
    </xf>
    <xf numFmtId="196" fontId="29" fillId="0" borderId="35" xfId="42" applyNumberFormat="1" applyFont="1" applyFill="1" applyBorder="1" applyAlignment="1" applyProtection="1">
      <alignment/>
      <protection/>
    </xf>
    <xf numFmtId="43" fontId="22" fillId="0" borderId="0" xfId="42" applyFont="1" applyFill="1" applyBorder="1" applyAlignment="1" applyProtection="1">
      <alignment/>
      <protection/>
    </xf>
    <xf numFmtId="0" fontId="27" fillId="0" borderId="40" xfId="0" applyFont="1" applyFill="1" applyBorder="1" applyAlignment="1">
      <alignment/>
    </xf>
    <xf numFmtId="22" fontId="3" fillId="0" borderId="0" xfId="0" applyNumberFormat="1" applyFont="1" applyAlignment="1">
      <alignment horizontal="center"/>
    </xf>
    <xf numFmtId="10" fontId="6" fillId="0" borderId="20" xfId="60" applyNumberFormat="1" applyFont="1" applyFill="1" applyBorder="1" applyAlignment="1" applyProtection="1">
      <alignment horizontal="right" vertical="top" wrapText="1"/>
      <protection/>
    </xf>
    <xf numFmtId="0" fontId="22" fillId="0" borderId="0" xfId="0" applyFont="1" applyBorder="1" applyAlignment="1">
      <alignment horizontal="center" wrapText="1"/>
    </xf>
    <xf numFmtId="0" fontId="22" fillId="0" borderId="0" xfId="0" applyFont="1" applyFill="1" applyBorder="1" applyAlignment="1">
      <alignment horizontal="center" wrapText="1"/>
    </xf>
    <xf numFmtId="0" fontId="9" fillId="0" borderId="0" xfId="0" applyFont="1" applyBorder="1" applyAlignment="1">
      <alignment horizontal="center" wrapText="1"/>
    </xf>
    <xf numFmtId="43" fontId="27" fillId="0" borderId="0" xfId="0" applyNumberFormat="1" applyFont="1" applyFill="1" applyAlignment="1">
      <alignment/>
    </xf>
    <xf numFmtId="43" fontId="8" fillId="17" borderId="0" xfId="42" applyFont="1" applyFill="1" applyBorder="1" applyAlignment="1" applyProtection="1">
      <alignment/>
      <protection/>
    </xf>
    <xf numFmtId="0" fontId="27" fillId="0" borderId="0" xfId="0" applyFont="1" applyFill="1" applyBorder="1" applyAlignment="1">
      <alignment horizontal="center"/>
    </xf>
    <xf numFmtId="0" fontId="27" fillId="0" borderId="0" xfId="0" applyFont="1" applyFill="1" applyBorder="1" applyAlignment="1">
      <alignment/>
    </xf>
    <xf numFmtId="43" fontId="27" fillId="24" borderId="0" xfId="42" applyFont="1" applyFill="1" applyBorder="1" applyAlignment="1" applyProtection="1">
      <alignment/>
      <protection/>
    </xf>
    <xf numFmtId="43" fontId="9" fillId="24" borderId="0" xfId="42" applyFont="1" applyFill="1" applyBorder="1" applyAlignment="1" applyProtection="1">
      <alignment/>
      <protection/>
    </xf>
    <xf numFmtId="0" fontId="8" fillId="0" borderId="0" xfId="0" applyFont="1" applyBorder="1" applyAlignment="1">
      <alignment horizontal="center"/>
    </xf>
    <xf numFmtId="196" fontId="9" fillId="0" borderId="0" xfId="0" applyNumberFormat="1" applyFont="1" applyBorder="1" applyAlignment="1">
      <alignment/>
    </xf>
    <xf numFmtId="0" fontId="27" fillId="0" borderId="0" xfId="0" applyFont="1" applyBorder="1" applyAlignment="1">
      <alignment horizontal="center"/>
    </xf>
    <xf numFmtId="0" fontId="27" fillId="0" borderId="0" xfId="0" applyFont="1" applyBorder="1" applyAlignment="1">
      <alignment/>
    </xf>
    <xf numFmtId="43" fontId="22" fillId="24" borderId="22" xfId="42" applyFont="1" applyFill="1" applyBorder="1" applyAlignment="1" applyProtection="1">
      <alignment/>
      <protection/>
    </xf>
    <xf numFmtId="43" fontId="22" fillId="0" borderId="50" xfId="42" applyFont="1" applyFill="1" applyBorder="1" applyAlignment="1" applyProtection="1">
      <alignment/>
      <protection/>
    </xf>
    <xf numFmtId="43" fontId="27" fillId="0" borderId="50" xfId="42" applyFont="1" applyFill="1" applyBorder="1" applyAlignment="1" applyProtection="1">
      <alignment/>
      <protection/>
    </xf>
    <xf numFmtId="43" fontId="27" fillId="0" borderId="51" xfId="42" applyFont="1" applyFill="1" applyBorder="1" applyAlignment="1" applyProtection="1">
      <alignment/>
      <protection/>
    </xf>
    <xf numFmtId="43" fontId="22" fillId="0" borderId="22" xfId="42" applyFont="1" applyFill="1" applyBorder="1" applyAlignment="1" applyProtection="1">
      <alignment/>
      <protection/>
    </xf>
    <xf numFmtId="43" fontId="22" fillId="24" borderId="0" xfId="42" applyFont="1" applyFill="1" applyBorder="1" applyAlignment="1" applyProtection="1">
      <alignment/>
      <protection/>
    </xf>
    <xf numFmtId="10" fontId="8" fillId="24" borderId="0" xfId="60" applyNumberFormat="1" applyFont="1" applyFill="1" applyBorder="1" applyAlignment="1">
      <alignment/>
    </xf>
    <xf numFmtId="0" fontId="9" fillId="0" borderId="0" xfId="0" applyFont="1" applyBorder="1" applyAlignment="1">
      <alignment/>
    </xf>
    <xf numFmtId="0" fontId="22" fillId="0" borderId="0" xfId="0" applyFont="1" applyBorder="1" applyAlignment="1">
      <alignment/>
    </xf>
    <xf numFmtId="0" fontId="22" fillId="0" borderId="0" xfId="0" applyFont="1" applyFill="1" applyAlignment="1">
      <alignment horizontal="left"/>
    </xf>
    <xf numFmtId="0" fontId="8" fillId="0" borderId="47" xfId="0" applyFont="1" applyFill="1" applyBorder="1" applyAlignment="1">
      <alignment horizontal="center"/>
    </xf>
    <xf numFmtId="0" fontId="3" fillId="0" borderId="17" xfId="0" applyFont="1" applyFill="1" applyBorder="1" applyAlignment="1">
      <alignment horizontal="left" wrapText="1"/>
    </xf>
    <xf numFmtId="0" fontId="8" fillId="0" borderId="20" xfId="0" applyFont="1" applyFill="1" applyBorder="1" applyAlignment="1">
      <alignment/>
    </xf>
    <xf numFmtId="0" fontId="23" fillId="0" borderId="15" xfId="0" applyFont="1" applyFill="1" applyBorder="1" applyAlignment="1">
      <alignment horizontal="justify" vertical="top" wrapText="1"/>
    </xf>
    <xf numFmtId="43" fontId="8" fillId="0" borderId="12" xfId="42" applyFont="1" applyFill="1" applyBorder="1" applyAlignment="1" applyProtection="1">
      <alignment/>
      <protection/>
    </xf>
    <xf numFmtId="0" fontId="8" fillId="0" borderId="21" xfId="0" applyFont="1" applyFill="1" applyBorder="1" applyAlignment="1">
      <alignment/>
    </xf>
    <xf numFmtId="0" fontId="6" fillId="0" borderId="15" xfId="0" applyFont="1" applyFill="1" applyBorder="1" applyAlignment="1">
      <alignment horizontal="justify" vertical="top" wrapText="1"/>
    </xf>
    <xf numFmtId="0" fontId="8" fillId="0" borderId="15" xfId="0" applyFont="1" applyFill="1" applyBorder="1" applyAlignment="1">
      <alignment/>
    </xf>
    <xf numFmtId="0" fontId="8" fillId="0" borderId="12" xfId="0" applyFont="1" applyFill="1" applyBorder="1" applyAlignment="1">
      <alignment horizontal="center"/>
    </xf>
    <xf numFmtId="10" fontId="8" fillId="0" borderId="0" xfId="60" applyNumberFormat="1" applyFont="1" applyFill="1" applyAlignment="1">
      <alignment/>
    </xf>
    <xf numFmtId="43" fontId="9" fillId="0" borderId="0" xfId="0" applyNumberFormat="1" applyFont="1" applyFill="1" applyAlignment="1">
      <alignment/>
    </xf>
    <xf numFmtId="43" fontId="8" fillId="0" borderId="0" xfId="42" applyFont="1" applyFill="1" applyAlignment="1">
      <alignment/>
    </xf>
    <xf numFmtId="0" fontId="9" fillId="0" borderId="0" xfId="0" applyFont="1" applyFill="1" applyBorder="1" applyAlignment="1">
      <alignment horizontal="center" wrapText="1"/>
    </xf>
    <xf numFmtId="0" fontId="9" fillId="0" borderId="0" xfId="0" applyFont="1" applyFill="1" applyAlignment="1">
      <alignment/>
    </xf>
    <xf numFmtId="0" fontId="9" fillId="0" borderId="13" xfId="0" applyFont="1" applyFill="1" applyBorder="1" applyAlignment="1">
      <alignment/>
    </xf>
    <xf numFmtId="0" fontId="9" fillId="0" borderId="13" xfId="0" applyFont="1" applyFill="1" applyBorder="1" applyAlignment="1">
      <alignment horizontal="center"/>
    </xf>
    <xf numFmtId="0" fontId="8" fillId="0" borderId="13" xfId="0" applyFont="1" applyFill="1" applyBorder="1" applyAlignment="1">
      <alignment horizontal="center"/>
    </xf>
    <xf numFmtId="0" fontId="8" fillId="0" borderId="27" xfId="0" applyFont="1" applyFill="1" applyBorder="1" applyAlignment="1">
      <alignment horizontal="center"/>
    </xf>
    <xf numFmtId="0" fontId="9" fillId="0" borderId="14" xfId="0" applyFont="1" applyFill="1" applyBorder="1" applyAlignment="1">
      <alignment horizontal="center" wrapText="1"/>
    </xf>
    <xf numFmtId="0" fontId="9" fillId="0" borderId="46" xfId="0" applyFont="1" applyFill="1" applyBorder="1" applyAlignment="1">
      <alignment horizontal="center" wrapText="1"/>
    </xf>
    <xf numFmtId="0" fontId="9" fillId="0" borderId="40" xfId="0" applyFont="1" applyFill="1" applyBorder="1" applyAlignment="1">
      <alignment horizontal="center" wrapText="1"/>
    </xf>
    <xf numFmtId="0" fontId="8" fillId="0" borderId="13" xfId="0" applyFont="1" applyFill="1" applyBorder="1" applyAlignment="1">
      <alignment/>
    </xf>
    <xf numFmtId="0" fontId="9" fillId="0" borderId="13" xfId="0" applyFont="1" applyFill="1" applyBorder="1" applyAlignment="1">
      <alignment/>
    </xf>
    <xf numFmtId="0" fontId="9" fillId="0" borderId="13" xfId="0" applyFont="1" applyFill="1" applyBorder="1" applyAlignment="1">
      <alignment horizontal="left"/>
    </xf>
    <xf numFmtId="43" fontId="8" fillId="0" borderId="13" xfId="0" applyNumberFormat="1" applyFont="1" applyFill="1" applyBorder="1" applyAlignment="1">
      <alignment/>
    </xf>
    <xf numFmtId="0" fontId="8" fillId="0" borderId="27" xfId="0" applyFont="1" applyFill="1" applyBorder="1" applyAlignment="1">
      <alignment/>
    </xf>
    <xf numFmtId="0" fontId="8" fillId="0" borderId="13" xfId="0" applyFont="1" applyFill="1" applyBorder="1" applyAlignment="1">
      <alignment horizontal="left"/>
    </xf>
    <xf numFmtId="0" fontId="8" fillId="0" borderId="15" xfId="0" applyFont="1" applyFill="1" applyBorder="1" applyAlignment="1">
      <alignment horizontal="center"/>
    </xf>
    <xf numFmtId="0" fontId="8" fillId="0" borderId="30" xfId="0" applyFont="1" applyFill="1" applyBorder="1" applyAlignment="1">
      <alignment horizontal="center"/>
    </xf>
    <xf numFmtId="0" fontId="3" fillId="0" borderId="15" xfId="0" applyFont="1" applyFill="1" applyBorder="1" applyAlignment="1">
      <alignment horizontal="left" wrapText="1"/>
    </xf>
    <xf numFmtId="0" fontId="23" fillId="0" borderId="21" xfId="0" applyFont="1" applyFill="1" applyBorder="1" applyAlignment="1">
      <alignment horizontal="justify" vertical="top" wrapText="1"/>
    </xf>
    <xf numFmtId="196" fontId="8" fillId="0" borderId="21" xfId="0" applyNumberFormat="1" applyFont="1" applyFill="1" applyBorder="1" applyAlignment="1">
      <alignment/>
    </xf>
    <xf numFmtId="43" fontId="8" fillId="0" borderId="15" xfId="0" applyNumberFormat="1" applyFont="1" applyFill="1" applyBorder="1" applyAlignment="1">
      <alignment/>
    </xf>
    <xf numFmtId="43" fontId="8" fillId="0" borderId="19" xfId="0" applyNumberFormat="1" applyFont="1" applyFill="1" applyBorder="1" applyAlignment="1">
      <alignment/>
    </xf>
    <xf numFmtId="0" fontId="27" fillId="0" borderId="27" xfId="0" applyFont="1" applyFill="1" applyBorder="1" applyAlignment="1">
      <alignment horizontal="center"/>
    </xf>
    <xf numFmtId="0" fontId="22" fillId="0" borderId="46" xfId="0" applyFont="1" applyFill="1" applyBorder="1" applyAlignment="1">
      <alignment horizontal="center" wrapText="1"/>
    </xf>
    <xf numFmtId="0" fontId="22" fillId="0" borderId="40" xfId="0" applyFont="1" applyFill="1" applyBorder="1" applyAlignment="1">
      <alignment horizontal="center" wrapText="1"/>
    </xf>
    <xf numFmtId="0" fontId="27" fillId="0" borderId="48" xfId="0" applyFont="1" applyFill="1" applyBorder="1" applyAlignment="1">
      <alignment/>
    </xf>
    <xf numFmtId="9" fontId="27" fillId="0" borderId="13" xfId="60" applyFont="1" applyFill="1" applyBorder="1" applyAlignment="1" applyProtection="1">
      <alignment/>
      <protection/>
    </xf>
    <xf numFmtId="9" fontId="22" fillId="0" borderId="13" xfId="60" applyFont="1" applyFill="1" applyBorder="1" applyAlignment="1" applyProtection="1">
      <alignment/>
      <protection/>
    </xf>
    <xf numFmtId="0" fontId="5" fillId="25" borderId="10" xfId="0" applyFont="1" applyFill="1" applyBorder="1" applyAlignment="1" quotePrefix="1">
      <alignment horizontal="center"/>
    </xf>
    <xf numFmtId="10" fontId="6" fillId="0" borderId="20" xfId="60" applyNumberFormat="1" applyFont="1" applyFill="1" applyBorder="1" applyAlignment="1" applyProtection="1">
      <alignment horizontal="center" vertical="top" wrapText="1"/>
      <protection/>
    </xf>
    <xf numFmtId="196" fontId="29" fillId="0" borderId="10" xfId="42" applyNumberFormat="1" applyFont="1" applyFill="1" applyBorder="1" applyAlignment="1" applyProtection="1">
      <alignment/>
      <protection/>
    </xf>
    <xf numFmtId="0" fontId="5" fillId="0" borderId="23" xfId="0" applyFont="1" applyFill="1" applyBorder="1" applyAlignment="1">
      <alignment horizontal="center" vertical="top" wrapText="1"/>
    </xf>
    <xf numFmtId="0" fontId="0" fillId="0" borderId="0" xfId="0" applyBorder="1" applyAlignment="1">
      <alignment vertical="top" wrapText="1"/>
    </xf>
    <xf numFmtId="0" fontId="24" fillId="0" borderId="0" xfId="0" applyFont="1" applyAlignment="1">
      <alignment horizontal="justify"/>
    </xf>
    <xf numFmtId="0" fontId="29" fillId="0" borderId="0" xfId="0" applyFont="1" applyAlignment="1">
      <alignment horizontal="justify"/>
    </xf>
    <xf numFmtId="0" fontId="6" fillId="0" borderId="0" xfId="0" applyFont="1" applyFill="1" applyBorder="1" applyAlignment="1">
      <alignment vertical="top" wrapText="1"/>
    </xf>
    <xf numFmtId="43" fontId="6" fillId="0" borderId="0" xfId="42" applyFont="1" applyFill="1" applyBorder="1" applyAlignment="1" applyProtection="1">
      <alignment horizontal="center" vertical="top" wrapText="1"/>
      <protection/>
    </xf>
    <xf numFmtId="0" fontId="0" fillId="0" borderId="16" xfId="0" applyFill="1" applyBorder="1" applyAlignment="1">
      <alignment/>
    </xf>
    <xf numFmtId="0" fontId="0" fillId="0" borderId="26" xfId="0" applyBorder="1" applyAlignment="1">
      <alignment/>
    </xf>
    <xf numFmtId="0" fontId="28" fillId="25" borderId="0" xfId="0" applyFont="1" applyFill="1" applyAlignment="1">
      <alignment horizontal="left"/>
    </xf>
    <xf numFmtId="0" fontId="5" fillId="25" borderId="32" xfId="0" applyFont="1" applyFill="1" applyBorder="1" applyAlignment="1">
      <alignment horizontal="center"/>
    </xf>
    <xf numFmtId="0" fontId="5" fillId="25" borderId="22" xfId="0" applyFont="1" applyFill="1" applyBorder="1" applyAlignment="1">
      <alignment horizontal="center"/>
    </xf>
    <xf numFmtId="0" fontId="29" fillId="0" borderId="0" xfId="0" applyFont="1" applyAlignment="1">
      <alignment horizontal="justify" vertical="top" wrapText="1"/>
    </xf>
    <xf numFmtId="0" fontId="6" fillId="0" borderId="23" xfId="0" applyFont="1" applyFill="1" applyBorder="1" applyAlignment="1" quotePrefix="1">
      <alignment vertical="top" wrapText="1"/>
    </xf>
    <xf numFmtId="0" fontId="5" fillId="0" borderId="18" xfId="0" applyFont="1" applyFill="1" applyBorder="1" applyAlignment="1">
      <alignment/>
    </xf>
    <xf numFmtId="0" fontId="5" fillId="0" borderId="23" xfId="0" applyFont="1" applyFill="1" applyBorder="1" applyAlignment="1">
      <alignment/>
    </xf>
    <xf numFmtId="0" fontId="0" fillId="0" borderId="22" xfId="0" applyBorder="1" applyAlignment="1">
      <alignment vertical="top" wrapText="1"/>
    </xf>
    <xf numFmtId="0" fontId="6" fillId="0" borderId="24" xfId="0" applyFont="1" applyFill="1" applyBorder="1" applyAlignment="1">
      <alignment horizontal="center" vertical="top"/>
    </xf>
    <xf numFmtId="0" fontId="6" fillId="0" borderId="20" xfId="0" applyFont="1" applyFill="1" applyBorder="1" applyAlignment="1">
      <alignment horizontal="center" vertical="top"/>
    </xf>
    <xf numFmtId="0" fontId="6" fillId="0" borderId="20" xfId="0" applyFont="1" applyFill="1" applyBorder="1" applyAlignment="1">
      <alignment horizontal="center" vertical="top" wrapText="1"/>
    </xf>
    <xf numFmtId="0" fontId="6" fillId="0" borderId="21" xfId="0" applyFont="1" applyFill="1" applyBorder="1" applyAlignment="1">
      <alignment horizontal="center" vertical="top" wrapText="1"/>
    </xf>
    <xf numFmtId="0" fontId="5" fillId="0" borderId="16" xfId="0" applyFont="1" applyFill="1" applyBorder="1" applyAlignment="1">
      <alignment vertical="top" wrapText="1"/>
    </xf>
    <xf numFmtId="0" fontId="0" fillId="0" borderId="17" xfId="0" applyBorder="1" applyAlignment="1">
      <alignment vertical="top" wrapText="1"/>
    </xf>
    <xf numFmtId="0" fontId="5" fillId="0" borderId="19" xfId="0" applyFont="1" applyFill="1" applyBorder="1" applyAlignment="1">
      <alignment horizontal="center"/>
    </xf>
    <xf numFmtId="0" fontId="6" fillId="0" borderId="18" xfId="0" applyFont="1" applyFill="1"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6" fillId="0" borderId="18" xfId="0" applyFont="1" applyFill="1" applyBorder="1" applyAlignment="1" quotePrefix="1">
      <alignment vertical="top" wrapText="1"/>
    </xf>
    <xf numFmtId="0" fontId="10" fillId="0" borderId="0" xfId="0" applyFont="1" applyAlignment="1">
      <alignment horizontal="center" wrapText="1"/>
    </xf>
    <xf numFmtId="0" fontId="5" fillId="0" borderId="0" xfId="0" applyFont="1" applyAlignment="1">
      <alignment horizontal="center"/>
    </xf>
    <xf numFmtId="0" fontId="10" fillId="0" borderId="0" xfId="0" applyFont="1" applyAlignment="1">
      <alignment horizontal="center"/>
    </xf>
    <xf numFmtId="0" fontId="6" fillId="0" borderId="0" xfId="0" applyFont="1" applyAlignment="1" quotePrefix="1">
      <alignment horizontal="center" vertical="center" wrapText="1"/>
    </xf>
    <xf numFmtId="0" fontId="6" fillId="0" borderId="0" xfId="0" applyFont="1" applyAlignment="1">
      <alignment horizontal="center" vertical="center" wrapText="1"/>
    </xf>
    <xf numFmtId="0" fontId="6" fillId="0" borderId="19" xfId="0" applyFont="1" applyFill="1" applyBorder="1" applyAlignment="1">
      <alignment vertical="top" wrapText="1"/>
    </xf>
    <xf numFmtId="0" fontId="6" fillId="0" borderId="22" xfId="0" applyFont="1" applyFill="1" applyBorder="1" applyAlignment="1">
      <alignment vertical="top" wrapText="1"/>
    </xf>
    <xf numFmtId="0" fontId="5" fillId="0" borderId="19" xfId="0" applyFont="1" applyFill="1" applyBorder="1" applyAlignment="1">
      <alignment vertical="top" wrapText="1"/>
    </xf>
    <xf numFmtId="0" fontId="5" fillId="0" borderId="22" xfId="0" applyFont="1" applyFill="1" applyBorder="1" applyAlignment="1">
      <alignment vertical="top" wrapText="1"/>
    </xf>
    <xf numFmtId="0" fontId="5" fillId="0" borderId="32" xfId="0" applyFont="1" applyFill="1" applyBorder="1" applyAlignment="1">
      <alignment horizontal="center"/>
    </xf>
    <xf numFmtId="0" fontId="5" fillId="0" borderId="22" xfId="0" applyFont="1" applyFill="1" applyBorder="1" applyAlignment="1">
      <alignment horizontal="center"/>
    </xf>
    <xf numFmtId="0" fontId="5" fillId="0" borderId="19"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1" xfId="0" applyFont="1" applyFill="1" applyBorder="1" applyAlignment="1">
      <alignment horizontal="center"/>
    </xf>
    <xf numFmtId="0" fontId="0" fillId="0" borderId="10" xfId="0" applyBorder="1" applyAlignment="1">
      <alignment horizontal="center"/>
    </xf>
    <xf numFmtId="0" fontId="5" fillId="0" borderId="31" xfId="0" applyFont="1" applyFill="1" applyBorder="1" applyAlignment="1">
      <alignment/>
    </xf>
    <xf numFmtId="0" fontId="5" fillId="0" borderId="10" xfId="0" applyFont="1" applyFill="1" applyBorder="1" applyAlignment="1">
      <alignment/>
    </xf>
    <xf numFmtId="0" fontId="5" fillId="0" borderId="19" xfId="0" applyFont="1" applyFill="1" applyBorder="1" applyAlignment="1" quotePrefix="1">
      <alignment vertical="top" wrapText="1"/>
    </xf>
    <xf numFmtId="0" fontId="5" fillId="0" borderId="22" xfId="0" applyFont="1" applyFill="1" applyBorder="1" applyAlignment="1" quotePrefix="1">
      <alignment vertical="top" wrapText="1"/>
    </xf>
    <xf numFmtId="0" fontId="6" fillId="0" borderId="31" xfId="0" applyFont="1" applyFill="1" applyBorder="1" applyAlignment="1" quotePrefix="1">
      <alignment vertical="top" wrapText="1"/>
    </xf>
    <xf numFmtId="0" fontId="6" fillId="0" borderId="10" xfId="0" applyFont="1" applyFill="1" applyBorder="1" applyAlignment="1" quotePrefix="1">
      <alignment vertical="top" wrapText="1"/>
    </xf>
    <xf numFmtId="0" fontId="5" fillId="0" borderId="19" xfId="0" applyFont="1" applyFill="1" applyBorder="1" applyAlignment="1">
      <alignment vertical="top" wrapText="1"/>
    </xf>
    <xf numFmtId="0" fontId="5" fillId="0" borderId="22" xfId="0" applyFont="1" applyFill="1" applyBorder="1" applyAlignment="1">
      <alignment vertical="top" wrapText="1"/>
    </xf>
    <xf numFmtId="0" fontId="6" fillId="0" borderId="31" xfId="0" applyFont="1" applyFill="1" applyBorder="1" applyAlignment="1">
      <alignment vertical="top" wrapText="1"/>
    </xf>
    <xf numFmtId="0" fontId="6" fillId="0" borderId="10" xfId="0" applyFont="1" applyFill="1" applyBorder="1" applyAlignment="1">
      <alignment vertical="top" wrapText="1"/>
    </xf>
    <xf numFmtId="0" fontId="6" fillId="0" borderId="16" xfId="0" applyFont="1" applyFill="1" applyBorder="1" applyAlignment="1">
      <alignment vertical="top" wrapText="1"/>
    </xf>
    <xf numFmtId="0" fontId="6" fillId="0" borderId="26" xfId="0" applyFont="1" applyFill="1" applyBorder="1" applyAlignment="1">
      <alignment vertical="top" wrapText="1"/>
    </xf>
    <xf numFmtId="0" fontId="6" fillId="0" borderId="19" xfId="0" applyFont="1" applyFill="1" applyBorder="1" applyAlignment="1" quotePrefix="1">
      <alignment vertical="top" wrapText="1"/>
    </xf>
    <xf numFmtId="0" fontId="6" fillId="0" borderId="22" xfId="0" applyFont="1" applyFill="1" applyBorder="1" applyAlignment="1" quotePrefix="1">
      <alignment vertical="top" wrapText="1"/>
    </xf>
    <xf numFmtId="0" fontId="30" fillId="25" borderId="0" xfId="0" applyFont="1" applyFill="1" applyAlignment="1">
      <alignment horizontal="center"/>
    </xf>
    <xf numFmtId="0" fontId="6" fillId="25" borderId="0" xfId="0" applyFont="1" applyFill="1" applyAlignment="1">
      <alignment horizontal="center"/>
    </xf>
    <xf numFmtId="0" fontId="5" fillId="0" borderId="20" xfId="0" applyFont="1" applyFill="1" applyBorder="1" applyAlignment="1">
      <alignment horizontal="center"/>
    </xf>
    <xf numFmtId="0" fontId="0" fillId="0" borderId="0" xfId="0" applyAlignment="1">
      <alignment vertical="top" wrapText="1"/>
    </xf>
    <xf numFmtId="0" fontId="24" fillId="0" borderId="0" xfId="0" applyFont="1" applyAlignment="1">
      <alignment horizontal="justify" vertical="top" wrapText="1"/>
    </xf>
    <xf numFmtId="0" fontId="24" fillId="0" borderId="0" xfId="0" applyFont="1" applyAlignment="1">
      <alignment horizontal="right" vertical="top" wrapText="1"/>
    </xf>
    <xf numFmtId="0" fontId="0" fillId="0" borderId="0" xfId="0" applyAlignment="1">
      <alignment horizontal="right" vertical="top" wrapText="1"/>
    </xf>
    <xf numFmtId="43" fontId="24" fillId="0" borderId="0" xfId="42" applyFont="1" applyBorder="1" applyAlignment="1">
      <alignment horizontal="center" vertical="center" wrapText="1"/>
    </xf>
    <xf numFmtId="43" fontId="30" fillId="0" borderId="0" xfId="42" applyFont="1" applyAlignment="1">
      <alignment horizontal="center" wrapText="1"/>
    </xf>
    <xf numFmtId="43" fontId="29" fillId="0" borderId="0" xfId="42" applyFont="1" applyAlignment="1">
      <alignment horizontal="center" wrapText="1"/>
    </xf>
    <xf numFmtId="0" fontId="24" fillId="0" borderId="24" xfId="0" applyFont="1" applyBorder="1" applyAlignment="1">
      <alignment horizontal="center" vertical="center" wrapText="1"/>
    </xf>
    <xf numFmtId="0" fontId="29" fillId="0" borderId="20" xfId="0" applyFont="1" applyBorder="1" applyAlignment="1">
      <alignment vertical="center" wrapText="1"/>
    </xf>
    <xf numFmtId="0" fontId="29" fillId="0" borderId="21" xfId="0" applyFont="1" applyBorder="1" applyAlignment="1">
      <alignment vertical="center" wrapText="1"/>
    </xf>
    <xf numFmtId="0" fontId="24" fillId="0" borderId="19" xfId="0" applyFont="1" applyFill="1" applyBorder="1" applyAlignment="1">
      <alignment horizontal="center"/>
    </xf>
    <xf numFmtId="0" fontId="24" fillId="0" borderId="22" xfId="0" applyFont="1" applyFill="1" applyBorder="1" applyAlignment="1">
      <alignment horizontal="center"/>
    </xf>
    <xf numFmtId="0" fontId="24" fillId="0" borderId="19" xfId="0" applyFont="1" applyBorder="1" applyAlignment="1">
      <alignment horizontal="center" wrapText="1"/>
    </xf>
    <xf numFmtId="0" fontId="24" fillId="0" borderId="22" xfId="0" applyFont="1" applyBorder="1" applyAlignment="1">
      <alignment horizontal="center" wrapText="1"/>
    </xf>
    <xf numFmtId="0" fontId="24" fillId="0" borderId="32" xfId="0" applyFont="1" applyBorder="1" applyAlignment="1">
      <alignment horizontal="center" wrapText="1"/>
    </xf>
    <xf numFmtId="0" fontId="29" fillId="25" borderId="0" xfId="0" applyFont="1" applyFill="1" applyAlignment="1">
      <alignment horizontal="center"/>
    </xf>
    <xf numFmtId="0" fontId="22" fillId="0" borderId="0" xfId="0" applyFont="1" applyFill="1" applyBorder="1" applyAlignment="1">
      <alignment horizontal="center" wrapText="1"/>
    </xf>
    <xf numFmtId="0" fontId="22" fillId="0" borderId="12" xfId="0" applyFont="1" applyFill="1" applyBorder="1" applyAlignment="1">
      <alignment horizontal="center" wrapText="1"/>
    </xf>
    <xf numFmtId="0" fontId="22" fillId="0" borderId="12" xfId="0" applyFont="1" applyFill="1" applyBorder="1" applyAlignment="1">
      <alignment/>
    </xf>
    <xf numFmtId="0" fontId="9" fillId="0" borderId="0" xfId="0" applyFont="1" applyFill="1" applyBorder="1" applyAlignment="1">
      <alignment horizontal="center" wrapText="1"/>
    </xf>
    <xf numFmtId="0" fontId="9" fillId="0" borderId="12" xfId="0" applyFont="1" applyFill="1" applyBorder="1" applyAlignment="1">
      <alignment horizontal="center" wrapText="1"/>
    </xf>
    <xf numFmtId="0" fontId="9" fillId="0" borderId="12" xfId="0" applyFont="1" applyFill="1" applyBorder="1" applyAlignment="1">
      <alignment/>
    </xf>
    <xf numFmtId="0" fontId="5" fillId="0" borderId="24" xfId="0" applyFont="1" applyBorder="1" applyAlignment="1" quotePrefix="1">
      <alignment horizontal="center" wrapText="1"/>
    </xf>
    <xf numFmtId="0" fontId="5" fillId="0" borderId="20" xfId="0" applyFont="1" applyBorder="1" applyAlignment="1" quotePrefix="1">
      <alignment horizontal="center" wrapText="1"/>
    </xf>
    <xf numFmtId="0" fontId="13" fillId="24" borderId="0" xfId="0" applyFont="1" applyFill="1" applyAlignment="1">
      <alignment horizontal="justify" vertical="top" wrapText="1"/>
    </xf>
    <xf numFmtId="0" fontId="4" fillId="24" borderId="52" xfId="0" applyFont="1" applyFill="1" applyBorder="1" applyAlignment="1">
      <alignment horizontal="left" vertical="top" wrapText="1"/>
    </xf>
    <xf numFmtId="0" fontId="0" fillId="24" borderId="52" xfId="0" applyFill="1" applyBorder="1" applyAlignment="1">
      <alignment horizontal="left" vertical="top" wrapText="1"/>
    </xf>
    <xf numFmtId="0" fontId="13" fillId="24" borderId="0" xfId="0" applyNumberFormat="1" applyFont="1" applyFill="1" applyAlignment="1">
      <alignment horizontal="justify" vertical="top" wrapText="1"/>
    </xf>
    <xf numFmtId="0" fontId="13" fillId="24" borderId="0" xfId="0" applyFont="1" applyFill="1" applyAlignment="1" quotePrefix="1">
      <alignment horizontal="justify" vertical="top" wrapText="1"/>
    </xf>
    <xf numFmtId="0" fontId="13" fillId="24" borderId="0" xfId="0" applyFont="1" applyFill="1" applyAlignment="1">
      <alignment horizontal="justify" vertical="justify" wrapText="1"/>
    </xf>
    <xf numFmtId="0" fontId="5" fillId="0" borderId="26" xfId="0" applyFont="1" applyBorder="1" applyAlignment="1" quotePrefix="1">
      <alignment horizontal="center" wrapText="1"/>
    </xf>
    <xf numFmtId="0" fontId="5" fillId="0" borderId="10" xfId="0" applyFont="1" applyBorder="1" applyAlignment="1" quotePrefix="1">
      <alignment horizontal="center"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5" fillId="0" borderId="0" xfId="0" applyFont="1" applyAlignment="1">
      <alignment horizontal="left"/>
    </xf>
    <xf numFmtId="0" fontId="5" fillId="0" borderId="0" xfId="0" applyFont="1" applyAlignment="1">
      <alignment horizontal="left" vertical="justify" wrapText="1"/>
    </xf>
    <xf numFmtId="0" fontId="6" fillId="0" borderId="0" xfId="0" applyFont="1" applyAlignment="1">
      <alignment horizontal="left" vertical="justify" wrapText="1"/>
    </xf>
    <xf numFmtId="0" fontId="5" fillId="0" borderId="24" xfId="0" applyFont="1" applyBorder="1" applyAlignment="1" quotePrefix="1">
      <alignment horizontal="center" wrapText="1"/>
    </xf>
    <xf numFmtId="0" fontId="5" fillId="0" borderId="24"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6" fillId="0" borderId="24" xfId="0" applyFont="1" applyBorder="1" applyAlignment="1">
      <alignment horizontal="center" vertical="top"/>
    </xf>
    <xf numFmtId="0" fontId="6" fillId="0" borderId="20" xfId="0" applyFont="1" applyBorder="1" applyAlignment="1">
      <alignment horizontal="center" vertical="top"/>
    </xf>
    <xf numFmtId="0" fontId="1" fillId="0" borderId="20" xfId="0" applyFont="1" applyBorder="1" applyAlignment="1">
      <alignment horizontal="center" vertical="top"/>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5" fillId="0" borderId="26" xfId="0" applyFont="1" applyBorder="1" applyAlignment="1" quotePrefix="1">
      <alignment horizontal="center" wrapText="1"/>
    </xf>
    <xf numFmtId="0" fontId="5" fillId="0" borderId="32" xfId="0" applyFont="1" applyBorder="1" applyAlignment="1">
      <alignment horizontal="center"/>
    </xf>
    <xf numFmtId="0" fontId="5" fillId="0" borderId="22" xfId="0" applyFont="1" applyBorder="1" applyAlignment="1">
      <alignment horizontal="center"/>
    </xf>
    <xf numFmtId="0" fontId="21"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5" fillId="0" borderId="19" xfId="0" applyFont="1" applyBorder="1" applyAlignment="1">
      <alignment horizontal="center"/>
    </xf>
    <xf numFmtId="0" fontId="5" fillId="0" borderId="0" xfId="0" applyFont="1" applyAlignment="1">
      <alignment horizontal="center" vertical="justify" wrapText="1"/>
    </xf>
    <xf numFmtId="0" fontId="6" fillId="0" borderId="0" xfId="0" applyFont="1" applyAlignment="1">
      <alignment horizontal="center" vertical="justify" wrapText="1"/>
    </xf>
    <xf numFmtId="0" fontId="5" fillId="0" borderId="19" xfId="0" applyFont="1" applyBorder="1" applyAlignment="1">
      <alignment horizontal="center"/>
    </xf>
    <xf numFmtId="0" fontId="5" fillId="0" borderId="22" xfId="0" applyFont="1" applyBorder="1" applyAlignment="1">
      <alignment horizontal="center"/>
    </xf>
    <xf numFmtId="0" fontId="5" fillId="0" borderId="24" xfId="0" applyFont="1" applyBorder="1" applyAlignment="1">
      <alignment horizontal="center" wrapText="1"/>
    </xf>
    <xf numFmtId="0" fontId="9" fillId="0" borderId="12" xfId="0" applyFont="1" applyBorder="1" applyAlignment="1">
      <alignment horizontal="center" wrapText="1"/>
    </xf>
    <xf numFmtId="0" fontId="9" fillId="0" borderId="12" xfId="0" applyFont="1" applyBorder="1" applyAlignment="1">
      <alignment/>
    </xf>
    <xf numFmtId="0" fontId="9" fillId="0" borderId="0" xfId="0" applyFont="1" applyBorder="1" applyAlignment="1">
      <alignment horizontal="center" wrapText="1"/>
    </xf>
    <xf numFmtId="43" fontId="24" fillId="0" borderId="0" xfId="42" applyFont="1" applyBorder="1" applyAlignment="1">
      <alignment horizontal="center" vertical="top" wrapText="1"/>
    </xf>
    <xf numFmtId="43" fontId="24" fillId="0" borderId="25" xfId="42" applyFont="1" applyBorder="1" applyAlignment="1">
      <alignment horizontal="center" vertical="top" wrapText="1"/>
    </xf>
    <xf numFmtId="43" fontId="24" fillId="0" borderId="25" xfId="42" applyFont="1" applyBorder="1" applyAlignment="1">
      <alignment horizontal="center" vertical="top" wrapText="1"/>
    </xf>
    <xf numFmtId="0" fontId="24" fillId="0" borderId="15" xfId="0" applyFont="1" applyFill="1" applyBorder="1" applyAlignment="1">
      <alignment horizontal="center" vertical="top"/>
    </xf>
    <xf numFmtId="0" fontId="0" fillId="0" borderId="15" xfId="0" applyBorder="1" applyAlignment="1">
      <alignment horizontal="center" vertical="top"/>
    </xf>
    <xf numFmtId="43" fontId="24" fillId="0" borderId="53" xfId="42" applyFont="1" applyBorder="1" applyAlignment="1">
      <alignment horizontal="center" vertical="top"/>
    </xf>
    <xf numFmtId="0" fontId="24" fillId="0" borderId="33" xfId="0" applyFont="1" applyFill="1" applyBorder="1" applyAlignment="1">
      <alignment horizontal="center" vertical="top"/>
    </xf>
    <xf numFmtId="0" fontId="6" fillId="0" borderId="0" xfId="0" applyFont="1" applyFill="1" applyBorder="1" applyAlignment="1">
      <alignment horizontal="justify" vertical="top"/>
    </xf>
    <xf numFmtId="43" fontId="24" fillId="0" borderId="0" xfId="42" applyFont="1" applyBorder="1" applyAlignment="1">
      <alignment horizontal="left" vertical="center" wrapText="1"/>
    </xf>
    <xf numFmtId="0" fontId="29" fillId="0" borderId="0" xfId="0" applyFont="1" applyBorder="1" applyAlignment="1">
      <alignment horizontal="left" indent="1"/>
    </xf>
    <xf numFmtId="0" fontId="29" fillId="0" borderId="0" xfId="0" applyFont="1" applyAlignment="1">
      <alignment horizontal="center" vertical="top" wrapText="1"/>
    </xf>
    <xf numFmtId="0" fontId="0" fillId="0" borderId="0" xfId="0" applyAlignment="1">
      <alignment horizontal="center" vertical="top" wrapText="1"/>
    </xf>
    <xf numFmtId="0" fontId="24" fillId="0" borderId="0" xfId="0" applyFont="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UDITED%20BOOKS\KHIL\Audit-KHIL2012\Q3%20RESULT%20-%20KHIL%202011-12\RESULTS-DEC-11\Interest%20Allocation-REvised280511\Average%20Cost%20of%20Capit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RESP\USER%20DATA\Ashok%20Hegde\finance\DEBT%20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hashidhar\Local%20Settings\Temporary%20Internet%20Files\OLK10\Final%20SCHEDULE-dec%20-14%20FOR%20INT.ALLOCA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shashidhar\Local%20Settings\Temporary%20Internet%20Files\OLK10\BDf%20RESULT-DEC%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Profile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o_venkatram"/>
      <sheetName val="for sbi_take over"/>
      <sheetName val="31_12_09"/>
      <sheetName val="Annexure_I details to JPC"/>
      <sheetName val="deepak Nanda"/>
      <sheetName val="Latest-07.09.10"/>
      <sheetName val="Latest-31.12.2010"/>
      <sheetName val="30_06_2010"/>
      <sheetName val="31_03_2010"/>
      <sheetName val="25_01_2010"/>
      <sheetName val="30_09_2009"/>
      <sheetName val="latest_revised_31_03_2009"/>
      <sheetName val="debt profile_revised_thil"/>
      <sheetName val="__VBA__0"/>
      <sheetName val="10.02.2011"/>
      <sheetName val="31.03.201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erest allocation"/>
      <sheetName val="summary "/>
    </sheetNames>
    <sheetDataSet>
      <sheetData sheetId="0">
        <row r="9">
          <cell r="B9">
            <v>1410.583247376179</v>
          </cell>
          <cell r="C9">
            <v>302.47538013653167</v>
          </cell>
          <cell r="D9">
            <v>0.33720765384879897</v>
          </cell>
          <cell r="E9">
            <v>642.2662134586973</v>
          </cell>
          <cell r="F9">
            <v>18.322262095694843</v>
          </cell>
          <cell r="G9">
            <v>8.003188307441453</v>
          </cell>
          <cell r="H9">
            <v>10.936157855386705</v>
          </cell>
          <cell r="J9">
            <v>13.854899641079768</v>
          </cell>
          <cell r="N9">
            <v>41.86938800000001</v>
          </cell>
          <cell r="O9">
            <v>1819.5766200000005</v>
          </cell>
          <cell r="P9">
            <v>2986.51543547514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ighted average for march 2012"/>
      <sheetName val="weigheted aveg shares DEC 14"/>
      <sheetName val="consolidated EPS"/>
      <sheetName val="eps consolidated"/>
      <sheetName val="EPS-standalone-DEC- 2014"/>
      <sheetName val="DEC -14 final result"/>
      <sheetName val="ASSETS AND LIBILITIES"/>
      <sheetName val="unitwise-DE 14 (Based on CE)"/>
      <sheetName val="consolidation"/>
      <sheetName val="Sheet1"/>
    </sheetNames>
    <sheetDataSet>
      <sheetData sheetId="5">
        <row r="18">
          <cell r="E18">
            <v>3455.34</v>
          </cell>
          <cell r="H18">
            <v>8962.17</v>
          </cell>
          <cell r="J18">
            <v>12503.77</v>
          </cell>
        </row>
        <row r="19">
          <cell r="E19">
            <v>212.32999999999998</v>
          </cell>
          <cell r="H19">
            <v>560.91</v>
          </cell>
          <cell r="J19">
            <v>901.99</v>
          </cell>
        </row>
        <row r="22">
          <cell r="E22">
            <v>356.26</v>
          </cell>
          <cell r="H22">
            <v>984.54</v>
          </cell>
          <cell r="J22">
            <v>1371.68</v>
          </cell>
        </row>
        <row r="23">
          <cell r="E23">
            <v>783.2600000000002</v>
          </cell>
          <cell r="H23">
            <v>2392.05</v>
          </cell>
          <cell r="J23">
            <v>3269.46</v>
          </cell>
        </row>
        <row r="24">
          <cell r="E24">
            <v>385.7800000000001</v>
          </cell>
          <cell r="H24">
            <v>1211.16</v>
          </cell>
          <cell r="J24">
            <v>1523.25</v>
          </cell>
        </row>
        <row r="25">
          <cell r="E25">
            <v>448.08000000000015</v>
          </cell>
          <cell r="H25">
            <v>1403.14</v>
          </cell>
          <cell r="J25">
            <v>1438.52</v>
          </cell>
        </row>
        <row r="26">
          <cell r="E26">
            <v>923.48</v>
          </cell>
          <cell r="H26">
            <v>2522.13</v>
          </cell>
          <cell r="J26">
            <v>3346.3199999999997</v>
          </cell>
        </row>
        <row r="29">
          <cell r="E29">
            <v>76.96000000000004</v>
          </cell>
          <cell r="H29">
            <v>494.48</v>
          </cell>
          <cell r="J29">
            <v>2273.3</v>
          </cell>
        </row>
        <row r="31">
          <cell r="E31">
            <v>411.85000000000036</v>
          </cell>
          <cell r="H31">
            <v>6887.76</v>
          </cell>
          <cell r="J31">
            <v>5735.27</v>
          </cell>
        </row>
        <row r="33">
          <cell r="E33">
            <v>0.15</v>
          </cell>
          <cell r="H33">
            <v>0.15</v>
          </cell>
          <cell r="J33">
            <v>-23805.16</v>
          </cell>
        </row>
        <row r="34">
          <cell r="J34">
            <v>0</v>
          </cell>
        </row>
        <row r="35">
          <cell r="E35">
            <v>436.06999999999914</v>
          </cell>
          <cell r="F35">
            <v>-3865.6299999999997</v>
          </cell>
          <cell r="J35">
            <v>-24810.6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26"/>
  <sheetViews>
    <sheetView zoomScalePageLayoutView="0" workbookViewId="0" topLeftCell="A1">
      <selection activeCell="C6" sqref="C6"/>
    </sheetView>
  </sheetViews>
  <sheetFormatPr defaultColWidth="9.140625" defaultRowHeight="12.75"/>
  <cols>
    <col min="1" max="2" width="3.57421875" style="4" customWidth="1"/>
    <col min="3" max="3" width="54.421875" style="4" customWidth="1"/>
    <col min="4" max="4" width="23.00390625" style="5" customWidth="1"/>
    <col min="5" max="5" width="14.28125" style="5" bestFit="1" customWidth="1"/>
    <col min="6" max="6" width="12.7109375" style="5" bestFit="1" customWidth="1"/>
    <col min="7" max="7" width="25.57421875" style="4" customWidth="1"/>
    <col min="8" max="8" width="17.140625" style="4" hidden="1" customWidth="1"/>
    <col min="9" max="9" width="15.57421875" style="4" customWidth="1"/>
    <col min="10" max="16384" width="9.140625" style="4" customWidth="1"/>
  </cols>
  <sheetData>
    <row r="1" spans="1:8" ht="20.25">
      <c r="A1" s="484" t="s">
        <v>43</v>
      </c>
      <c r="B1" s="484"/>
      <c r="C1" s="484"/>
      <c r="D1" s="484"/>
      <c r="E1" s="484"/>
      <c r="F1" s="484"/>
      <c r="G1" s="90"/>
      <c r="H1" s="90"/>
    </row>
    <row r="2" spans="4:6" ht="14.25">
      <c r="D2" s="4"/>
      <c r="E2" s="4"/>
      <c r="F2" s="4"/>
    </row>
    <row r="3" spans="1:6" ht="15.75">
      <c r="A3" s="24" t="s">
        <v>195</v>
      </c>
      <c r="B3" s="24"/>
      <c r="C3" s="3"/>
      <c r="D3" s="3"/>
      <c r="E3" s="3"/>
      <c r="F3" s="3"/>
    </row>
    <row r="4" spans="1:6" ht="15">
      <c r="A4" s="3" t="s">
        <v>12</v>
      </c>
      <c r="B4" s="3"/>
      <c r="C4" s="3"/>
      <c r="D4" s="3"/>
      <c r="E4" s="3"/>
      <c r="F4" s="3"/>
    </row>
    <row r="5" spans="1:7" ht="15.75">
      <c r="A5" s="2" t="s">
        <v>12</v>
      </c>
      <c r="B5" s="2"/>
      <c r="C5" s="3" t="s">
        <v>122</v>
      </c>
      <c r="D5" s="3"/>
      <c r="E5" s="3"/>
      <c r="F5" s="3"/>
      <c r="G5" s="57" t="s">
        <v>12</v>
      </c>
    </row>
    <row r="6" spans="4:6" ht="14.25">
      <c r="D6" s="4"/>
      <c r="E6" s="4"/>
      <c r="F6" s="4"/>
    </row>
    <row r="7" spans="3:6" ht="15">
      <c r="C7" s="4" t="s">
        <v>121</v>
      </c>
      <c r="D7" s="59" t="s">
        <v>187</v>
      </c>
      <c r="E7" s="4"/>
      <c r="F7" s="4"/>
    </row>
    <row r="8" spans="4:6" ht="14.25">
      <c r="D8" s="81">
        <f>31+30+31+31+28+31</f>
        <v>182</v>
      </c>
      <c r="E8" s="4"/>
      <c r="F8" s="4"/>
    </row>
    <row r="9" spans="4:6" ht="14.25">
      <c r="D9" s="81"/>
      <c r="E9" s="4"/>
      <c r="F9" s="4"/>
    </row>
    <row r="10" spans="3:8" ht="15">
      <c r="C10" s="4" t="s">
        <v>12</v>
      </c>
      <c r="D10" s="59" t="s">
        <v>118</v>
      </c>
      <c r="E10" s="59" t="s">
        <v>119</v>
      </c>
      <c r="F10" s="59" t="s">
        <v>120</v>
      </c>
      <c r="G10" s="485"/>
      <c r="H10" s="485"/>
    </row>
    <row r="11" spans="4:6" ht="14.25">
      <c r="D11" s="4"/>
      <c r="E11" s="4"/>
      <c r="F11" s="4"/>
    </row>
    <row r="12" spans="3:9" ht="14.25">
      <c r="C12" s="4" t="s">
        <v>196</v>
      </c>
      <c r="D12" s="19">
        <f>+D8</f>
        <v>182</v>
      </c>
      <c r="E12" s="19">
        <f>13197395+1843810</f>
        <v>15041205</v>
      </c>
      <c r="F12" s="19">
        <f>+E12*D12/182</f>
        <v>15041205</v>
      </c>
      <c r="G12" s="19"/>
      <c r="H12" s="5"/>
      <c r="I12" s="5"/>
    </row>
    <row r="13" spans="3:9" ht="14.25">
      <c r="C13" s="4" t="s">
        <v>151</v>
      </c>
      <c r="D13" s="19"/>
      <c r="E13" s="19"/>
      <c r="F13" s="19"/>
      <c r="G13" s="19"/>
      <c r="H13" s="5"/>
      <c r="I13" s="5"/>
    </row>
    <row r="14" spans="3:9" ht="14.25">
      <c r="C14" s="4" t="s">
        <v>110</v>
      </c>
      <c r="D14" s="19"/>
      <c r="E14" s="19"/>
      <c r="F14" s="19"/>
      <c r="G14" s="19"/>
      <c r="H14" s="5"/>
      <c r="I14" s="5"/>
    </row>
    <row r="15" spans="3:9" ht="14.25">
      <c r="C15" s="4" t="s">
        <v>189</v>
      </c>
      <c r="D15" s="19">
        <f>31+31+28+31</f>
        <v>121</v>
      </c>
      <c r="E15" s="19">
        <v>4052190</v>
      </c>
      <c r="F15" s="19">
        <f>+E15*D15/182</f>
        <v>2694038.4065934066</v>
      </c>
      <c r="G15" s="19"/>
      <c r="H15" s="5"/>
      <c r="I15" s="5"/>
    </row>
    <row r="16" spans="3:9" ht="14.25">
      <c r="C16" s="4" t="s">
        <v>190</v>
      </c>
      <c r="D16" s="19"/>
      <c r="E16" s="19"/>
      <c r="F16" s="19"/>
      <c r="G16" s="19"/>
      <c r="H16" s="5"/>
      <c r="I16" s="5"/>
    </row>
    <row r="17" spans="3:7" ht="15">
      <c r="C17" s="3" t="s">
        <v>188</v>
      </c>
      <c r="D17" s="78" t="s">
        <v>12</v>
      </c>
      <c r="E17" s="80">
        <f>+E15+E12</f>
        <v>19093395</v>
      </c>
      <c r="F17" s="87">
        <f>ROUND(+F15+F12,0)</f>
        <v>17735243</v>
      </c>
      <c r="G17" s="79"/>
    </row>
    <row r="18" spans="4:7" ht="14.25">
      <c r="D18" s="78"/>
      <c r="E18" s="78"/>
      <c r="F18" s="78"/>
      <c r="G18" s="79"/>
    </row>
    <row r="19" spans="3:7" ht="15">
      <c r="C19" s="4" t="s">
        <v>121</v>
      </c>
      <c r="D19" s="59" t="s">
        <v>191</v>
      </c>
      <c r="E19" s="78"/>
      <c r="F19" s="78" t="s">
        <v>12</v>
      </c>
      <c r="G19" s="79"/>
    </row>
    <row r="20" spans="4:7" ht="14.25">
      <c r="D20" s="81">
        <v>365</v>
      </c>
      <c r="E20" s="78"/>
      <c r="F20" s="78"/>
      <c r="G20" s="79"/>
    </row>
    <row r="21" spans="3:7" ht="15">
      <c r="C21" s="4" t="s">
        <v>12</v>
      </c>
      <c r="D21" s="59" t="s">
        <v>118</v>
      </c>
      <c r="E21" s="59" t="s">
        <v>119</v>
      </c>
      <c r="F21" s="59" t="s">
        <v>120</v>
      </c>
      <c r="G21" s="79"/>
    </row>
    <row r="22" spans="4:7" ht="14.25">
      <c r="D22" s="4"/>
      <c r="E22" s="4"/>
      <c r="F22" s="4"/>
      <c r="G22" s="79"/>
    </row>
    <row r="23" spans="3:7" ht="14.25">
      <c r="C23" s="4" t="s">
        <v>150</v>
      </c>
      <c r="D23" s="19">
        <v>365</v>
      </c>
      <c r="E23" s="19">
        <f>+E12</f>
        <v>15041205</v>
      </c>
      <c r="F23" s="19">
        <f>+E23*D23/365</f>
        <v>15041205</v>
      </c>
      <c r="G23" s="79"/>
    </row>
    <row r="24" spans="4:6" ht="14.25">
      <c r="D24" s="19"/>
      <c r="E24" s="19"/>
      <c r="F24" s="19"/>
    </row>
    <row r="25" spans="3:6" ht="14.25">
      <c r="C25" s="4" t="s">
        <v>189</v>
      </c>
      <c r="D25" s="19">
        <f>+D15</f>
        <v>121</v>
      </c>
      <c r="E25" s="19">
        <v>4052190</v>
      </c>
      <c r="F25" s="19">
        <f>+E25*D25/365</f>
        <v>1343328.7397260275</v>
      </c>
    </row>
    <row r="26" spans="3:6" ht="14.25">
      <c r="C26" s="4" t="s">
        <v>190</v>
      </c>
      <c r="D26" s="19"/>
      <c r="E26" s="19"/>
      <c r="F26" s="19"/>
    </row>
    <row r="27" spans="4:6" ht="14.25">
      <c r="D27" s="19"/>
      <c r="E27" s="19"/>
      <c r="F27" s="19"/>
    </row>
    <row r="28" spans="3:6" ht="14.25">
      <c r="C28" s="4" t="s">
        <v>12</v>
      </c>
      <c r="D28" s="19"/>
      <c r="E28" s="19"/>
      <c r="F28" s="19"/>
    </row>
    <row r="29" spans="3:6" ht="15">
      <c r="C29" s="3" t="s">
        <v>192</v>
      </c>
      <c r="D29" s="78" t="s">
        <v>12</v>
      </c>
      <c r="E29" s="80">
        <f>+E25+E23</f>
        <v>19093395</v>
      </c>
      <c r="F29" s="93">
        <f>ROUND(+F25+F23,0)</f>
        <v>16384534</v>
      </c>
    </row>
    <row r="30" spans="4:6" ht="14.25">
      <c r="D30" s="28"/>
      <c r="E30" s="28"/>
      <c r="F30" s="28"/>
    </row>
    <row r="31" spans="4:6" ht="14.25">
      <c r="D31" s="28"/>
      <c r="E31" s="28"/>
      <c r="F31" s="28"/>
    </row>
    <row r="32" spans="4:6" ht="14.25">
      <c r="D32" s="28"/>
      <c r="E32" s="28"/>
      <c r="F32" s="28"/>
    </row>
    <row r="33" spans="1:8" ht="20.25">
      <c r="A33" s="484" t="s">
        <v>43</v>
      </c>
      <c r="B33" s="484"/>
      <c r="C33" s="484"/>
      <c r="D33" s="484"/>
      <c r="E33" s="484"/>
      <c r="F33" s="484"/>
      <c r="G33" s="89"/>
      <c r="H33" s="89"/>
    </row>
    <row r="34" spans="4:6" ht="14.25">
      <c r="D34" s="4"/>
      <c r="E34" s="4"/>
      <c r="F34" s="4"/>
    </row>
    <row r="35" spans="1:6" ht="15.75">
      <c r="A35" s="24" t="str">
        <f>+A3</f>
        <v>Unaudited Financial Results for the quarter  ended 31.12.2011.</v>
      </c>
      <c r="B35" s="24"/>
      <c r="C35" s="3"/>
      <c r="D35" s="3"/>
      <c r="E35" s="3"/>
      <c r="F35" s="3"/>
    </row>
    <row r="36" spans="1:6" ht="15">
      <c r="A36" s="3" t="s">
        <v>12</v>
      </c>
      <c r="B36" s="3"/>
      <c r="C36" s="3"/>
      <c r="D36" s="3"/>
      <c r="E36" s="3"/>
      <c r="F36" s="3"/>
    </row>
    <row r="37" spans="1:7" ht="15.75">
      <c r="A37" s="2" t="s">
        <v>12</v>
      </c>
      <c r="B37" s="2"/>
      <c r="C37" s="3" t="s">
        <v>123</v>
      </c>
      <c r="D37" s="3"/>
      <c r="E37" s="3"/>
      <c r="F37" s="3"/>
      <c r="G37" s="57" t="s">
        <v>12</v>
      </c>
    </row>
    <row r="38" spans="4:6" ht="14.25">
      <c r="D38" s="4"/>
      <c r="E38" s="4"/>
      <c r="F38" s="4"/>
    </row>
    <row r="39" spans="3:6" ht="14.25">
      <c r="C39" s="4" t="s">
        <v>121</v>
      </c>
      <c r="D39" s="81" t="str">
        <f>D7</f>
        <v>01.10.2011 to 31.03.12</v>
      </c>
      <c r="E39" s="4"/>
      <c r="F39" s="4"/>
    </row>
    <row r="40" spans="4:6" ht="14.25">
      <c r="D40" s="81">
        <v>92</v>
      </c>
      <c r="E40" s="4"/>
      <c r="F40" s="4"/>
    </row>
    <row r="41" spans="4:6" ht="14.25">
      <c r="D41" s="81"/>
      <c r="E41" s="4"/>
      <c r="F41" s="4"/>
    </row>
    <row r="42" spans="3:8" ht="15">
      <c r="C42" s="4" t="s">
        <v>12</v>
      </c>
      <c r="D42" s="59" t="s">
        <v>118</v>
      </c>
      <c r="E42" s="59" t="s">
        <v>119</v>
      </c>
      <c r="F42" s="59" t="s">
        <v>120</v>
      </c>
      <c r="G42" s="485"/>
      <c r="H42" s="485"/>
    </row>
    <row r="43" spans="4:6" ht="14.25">
      <c r="D43" s="4"/>
      <c r="E43" s="4"/>
      <c r="F43" s="4"/>
    </row>
    <row r="44" spans="3:8" ht="14.25">
      <c r="C44" s="4" t="str">
        <f>+C12</f>
        <v>Existing no of shares from 01.10.2011 to 31.12.2011</v>
      </c>
      <c r="D44" s="19">
        <f>+D12</f>
        <v>182</v>
      </c>
      <c r="E44" s="19">
        <f>+E12</f>
        <v>15041205</v>
      </c>
      <c r="F44" s="19">
        <f>+E44*D44/$D$40</f>
        <v>29755427.282608695</v>
      </c>
      <c r="G44" s="19"/>
      <c r="H44" s="5"/>
    </row>
    <row r="45" spans="3:8" ht="14.25">
      <c r="C45" s="4" t="s">
        <v>151</v>
      </c>
      <c r="D45" s="19"/>
      <c r="E45" s="19"/>
      <c r="F45" s="19"/>
      <c r="G45" s="19"/>
      <c r="H45" s="5"/>
    </row>
    <row r="46" spans="4:8" ht="14.25">
      <c r="D46" s="19"/>
      <c r="E46" s="19"/>
      <c r="F46" s="19"/>
      <c r="G46" s="19"/>
      <c r="H46" s="5"/>
    </row>
    <row r="47" spans="3:8" ht="14.25">
      <c r="C47" s="4" t="str">
        <f>+C15</f>
        <v>Additional shares issued from  01.12.2011 to 31.03.2012</v>
      </c>
      <c r="D47" s="19">
        <f>+D15</f>
        <v>121</v>
      </c>
      <c r="E47" s="19">
        <v>0</v>
      </c>
      <c r="F47" s="19">
        <f>+E47*D47/$D$40</f>
        <v>0</v>
      </c>
      <c r="G47" s="19"/>
      <c r="H47" s="5"/>
    </row>
    <row r="48" spans="3:8" ht="14.25">
      <c r="C48" s="4" t="s">
        <v>143</v>
      </c>
      <c r="D48" s="19"/>
      <c r="E48" s="19"/>
      <c r="F48" s="19"/>
      <c r="G48" s="19"/>
      <c r="H48" s="5"/>
    </row>
    <row r="49" spans="4:7" ht="15">
      <c r="D49" s="78" t="s">
        <v>12</v>
      </c>
      <c r="E49" s="80">
        <f>+E47+E44</f>
        <v>15041205</v>
      </c>
      <c r="F49" s="3">
        <f>ROUND(+F47+F44,0)</f>
        <v>29755427</v>
      </c>
      <c r="G49" s="79"/>
    </row>
    <row r="50" spans="4:7" ht="15">
      <c r="D50" s="78"/>
      <c r="E50" s="80"/>
      <c r="F50" s="3"/>
      <c r="G50" s="79"/>
    </row>
    <row r="51" spans="4:7" ht="14.25">
      <c r="D51" s="78"/>
      <c r="E51" s="78"/>
      <c r="F51" s="19"/>
      <c r="G51" s="79" t="s">
        <v>12</v>
      </c>
    </row>
    <row r="52" spans="3:7" ht="15">
      <c r="C52" s="82"/>
      <c r="D52" s="78"/>
      <c r="E52" s="78"/>
      <c r="F52" s="3"/>
      <c r="G52" s="79"/>
    </row>
    <row r="53" spans="3:7" ht="15">
      <c r="C53" s="82"/>
      <c r="D53" s="78"/>
      <c r="E53" s="78"/>
      <c r="F53" s="3"/>
      <c r="G53" s="79"/>
    </row>
    <row r="54" spans="3:7" ht="14.25">
      <c r="C54" s="4" t="s">
        <v>167</v>
      </c>
      <c r="D54" s="78">
        <v>92</v>
      </c>
      <c r="E54" s="78">
        <f>18000000*44.22/135-1843810</f>
        <v>4052190</v>
      </c>
      <c r="F54" s="19">
        <f>+E54*D54/$D$40</f>
        <v>4052190</v>
      </c>
      <c r="G54" s="79"/>
    </row>
    <row r="55" spans="3:7" ht="15">
      <c r="C55" s="4" t="s">
        <v>124</v>
      </c>
      <c r="D55" s="78"/>
      <c r="E55" s="78"/>
      <c r="F55" s="3"/>
      <c r="G55" s="79"/>
    </row>
    <row r="56" spans="3:7" ht="15">
      <c r="C56" s="4" t="s">
        <v>149</v>
      </c>
      <c r="D56" s="78" t="s">
        <v>12</v>
      </c>
      <c r="E56" s="78"/>
      <c r="F56" s="3"/>
      <c r="G56" s="79"/>
    </row>
    <row r="57" spans="3:7" ht="15">
      <c r="C57" s="82"/>
      <c r="D57" s="78"/>
      <c r="E57" s="78"/>
      <c r="F57" s="3"/>
      <c r="G57" s="79"/>
    </row>
    <row r="58" spans="4:7" ht="15">
      <c r="D58" s="78"/>
      <c r="E58" s="80"/>
      <c r="F58" s="3"/>
      <c r="G58" s="79"/>
    </row>
    <row r="59" spans="3:7" ht="15">
      <c r="C59" s="18"/>
      <c r="D59" s="78"/>
      <c r="E59" s="80"/>
      <c r="F59" s="3"/>
      <c r="G59" s="79"/>
    </row>
    <row r="60" spans="3:7" ht="15">
      <c r="C60" s="3" t="s">
        <v>125</v>
      </c>
      <c r="D60" s="78"/>
      <c r="E60" s="80">
        <f>+E51+E54</f>
        <v>4052190</v>
      </c>
      <c r="F60" s="80">
        <f>+F51+F54</f>
        <v>4052190</v>
      </c>
      <c r="G60" s="79"/>
    </row>
    <row r="61" spans="3:7" ht="15">
      <c r="C61" s="18"/>
      <c r="D61" s="78"/>
      <c r="E61" s="80"/>
      <c r="F61" s="3"/>
      <c r="G61" s="79"/>
    </row>
    <row r="62" spans="3:7" ht="15">
      <c r="C62" s="3" t="s">
        <v>126</v>
      </c>
      <c r="D62" s="78"/>
      <c r="E62" s="83" t="s">
        <v>12</v>
      </c>
      <c r="F62" s="88">
        <f>+F60+F49</f>
        <v>33807617</v>
      </c>
      <c r="G62" s="79"/>
    </row>
    <row r="63" spans="4:7" ht="15">
      <c r="D63" s="78"/>
      <c r="E63" s="80"/>
      <c r="F63" s="3"/>
      <c r="G63" s="79"/>
    </row>
    <row r="64" spans="4:7" ht="14.25">
      <c r="D64" s="78"/>
      <c r="E64" s="78"/>
      <c r="F64" s="78"/>
      <c r="G64" s="79"/>
    </row>
    <row r="65" spans="3:7" ht="14.25">
      <c r="C65" s="4" t="s">
        <v>121</v>
      </c>
      <c r="D65" s="81" t="str">
        <f>+D19</f>
        <v>01.04.2011 to 31.03.12</v>
      </c>
      <c r="E65" s="78"/>
      <c r="F65" s="78" t="s">
        <v>12</v>
      </c>
      <c r="G65" s="79"/>
    </row>
    <row r="66" spans="4:7" ht="14.25">
      <c r="D66" s="81">
        <f>+D20</f>
        <v>365</v>
      </c>
      <c r="E66" s="78"/>
      <c r="F66" s="78"/>
      <c r="G66" s="79"/>
    </row>
    <row r="67" spans="3:7" ht="15">
      <c r="C67" s="4" t="s">
        <v>12</v>
      </c>
      <c r="D67" s="59" t="s">
        <v>118</v>
      </c>
      <c r="E67" s="59" t="s">
        <v>119</v>
      </c>
      <c r="F67" s="59" t="s">
        <v>120</v>
      </c>
      <c r="G67" s="79"/>
    </row>
    <row r="68" spans="4:7" ht="14.25">
      <c r="D68" s="4"/>
      <c r="E68" s="4"/>
      <c r="F68" s="4"/>
      <c r="G68" s="79"/>
    </row>
    <row r="69" spans="3:7" ht="14.25">
      <c r="C69" s="4" t="str">
        <f>+C23</f>
        <v>Existing no of shares </v>
      </c>
      <c r="D69" s="19">
        <f>+D23</f>
        <v>365</v>
      </c>
      <c r="E69" s="19">
        <f>13197395+1843810</f>
        <v>15041205</v>
      </c>
      <c r="F69" s="19">
        <f>+E69*D69/$D$66</f>
        <v>15041205</v>
      </c>
      <c r="G69" s="79"/>
    </row>
    <row r="70" spans="4:6" ht="14.25">
      <c r="D70" s="19"/>
      <c r="E70" s="19"/>
      <c r="F70" s="19"/>
    </row>
    <row r="71" spans="3:6" ht="14.25">
      <c r="C71" s="4" t="str">
        <f>+C25</f>
        <v>Additional shares issued from  01.12.2011 to 31.03.2012</v>
      </c>
      <c r="D71" s="19">
        <f>+D25</f>
        <v>121</v>
      </c>
      <c r="E71" s="19">
        <v>0</v>
      </c>
      <c r="F71" s="19">
        <f>+E71*D71/$D$66</f>
        <v>0</v>
      </c>
    </row>
    <row r="72" spans="3:6" ht="14.25">
      <c r="C72" s="4" t="str">
        <f>+C28</f>
        <v> </v>
      </c>
      <c r="D72" s="19"/>
      <c r="E72" s="19"/>
      <c r="F72" s="19"/>
    </row>
    <row r="73" spans="3:6" ht="15">
      <c r="C73" s="4" t="s">
        <v>143</v>
      </c>
      <c r="D73" s="78" t="s">
        <v>12</v>
      </c>
      <c r="E73" s="80">
        <f>+E71+E69</f>
        <v>15041205</v>
      </c>
      <c r="F73" s="3">
        <f>ROUND(+F71+F69,0)</f>
        <v>15041205</v>
      </c>
    </row>
    <row r="74" spans="4:6" ht="15">
      <c r="D74" s="78"/>
      <c r="E74" s="80"/>
      <c r="F74" s="3"/>
    </row>
    <row r="75" spans="3:6" ht="14.25" hidden="1">
      <c r="C75" s="4" t="s">
        <v>12</v>
      </c>
      <c r="D75" s="78">
        <v>0</v>
      </c>
      <c r="E75" s="78">
        <v>0</v>
      </c>
      <c r="F75" s="19">
        <f>+E75*D75/$D$66</f>
        <v>0</v>
      </c>
    </row>
    <row r="76" spans="4:6" ht="15" hidden="1">
      <c r="D76" s="78"/>
      <c r="E76" s="78"/>
      <c r="F76" s="3"/>
    </row>
    <row r="77" spans="3:6" ht="15">
      <c r="C77" s="82"/>
      <c r="D77" s="78"/>
      <c r="E77" s="78"/>
      <c r="F77" s="3"/>
    </row>
    <row r="78" spans="3:6" ht="14.25">
      <c r="C78" s="4" t="s">
        <v>168</v>
      </c>
      <c r="D78" s="78">
        <v>183</v>
      </c>
      <c r="E78" s="78">
        <f>+E54</f>
        <v>4052190</v>
      </c>
      <c r="F78" s="19">
        <f>+E78*D78/$D$66</f>
        <v>2031645.9452054794</v>
      </c>
    </row>
    <row r="79" spans="3:6" ht="15">
      <c r="C79" s="4" t="s">
        <v>124</v>
      </c>
      <c r="D79" s="78"/>
      <c r="E79" s="78"/>
      <c r="F79" s="3"/>
    </row>
    <row r="80" spans="3:6" ht="15">
      <c r="C80" s="4" t="s">
        <v>149</v>
      </c>
      <c r="D80" s="78" t="s">
        <v>12</v>
      </c>
      <c r="E80" s="78"/>
      <c r="F80" s="3"/>
    </row>
    <row r="81" spans="3:6" ht="15">
      <c r="C81" s="82"/>
      <c r="D81" s="78"/>
      <c r="E81" s="78"/>
      <c r="F81" s="3"/>
    </row>
    <row r="82" spans="3:6" ht="15">
      <c r="C82" s="18"/>
      <c r="D82" s="78"/>
      <c r="E82" s="80"/>
      <c r="F82" s="3"/>
    </row>
    <row r="83" spans="3:6" ht="15">
      <c r="C83" s="3" t="s">
        <v>125</v>
      </c>
      <c r="D83" s="78"/>
      <c r="E83" s="80">
        <f>+E75+E78</f>
        <v>4052190</v>
      </c>
      <c r="F83" s="80">
        <f>+F75+F78</f>
        <v>2031645.9452054794</v>
      </c>
    </row>
    <row r="84" spans="3:6" ht="15">
      <c r="C84" s="18"/>
      <c r="D84" s="78"/>
      <c r="E84" s="80"/>
      <c r="F84" s="3"/>
    </row>
    <row r="85" spans="3:6" ht="15">
      <c r="C85" s="3" t="s">
        <v>126</v>
      </c>
      <c r="D85" s="78"/>
      <c r="E85" s="83" t="s">
        <v>12</v>
      </c>
      <c r="F85" s="88">
        <f>+F83+F73</f>
        <v>17072850.94520548</v>
      </c>
    </row>
    <row r="86" spans="4:6" ht="14.25">
      <c r="D86" s="28"/>
      <c r="E86" s="28"/>
      <c r="F86" s="28"/>
    </row>
    <row r="87" spans="4:6" ht="14.25">
      <c r="D87" s="28"/>
      <c r="E87" s="28"/>
      <c r="F87" s="28"/>
    </row>
    <row r="88" spans="4:6" ht="14.25">
      <c r="D88" s="28"/>
      <c r="E88" s="28"/>
      <c r="F88" s="28"/>
    </row>
    <row r="89" spans="4:6" ht="14.25">
      <c r="D89" s="28"/>
      <c r="E89" s="28"/>
      <c r="F89" s="28"/>
    </row>
    <row r="90" spans="4:6" ht="14.25">
      <c r="D90" s="28"/>
      <c r="E90" s="28"/>
      <c r="F90" s="28"/>
    </row>
    <row r="91" spans="4:6" ht="14.25">
      <c r="D91" s="28"/>
      <c r="E91" s="28"/>
      <c r="F91" s="28"/>
    </row>
    <row r="92" spans="4:6" ht="14.25">
      <c r="D92" s="28"/>
      <c r="E92" s="28"/>
      <c r="F92" s="28"/>
    </row>
    <row r="93" spans="4:6" ht="14.25">
      <c r="D93" s="28"/>
      <c r="E93" s="28"/>
      <c r="F93" s="28"/>
    </row>
    <row r="94" spans="4:6" ht="14.25">
      <c r="D94" s="28"/>
      <c r="E94" s="28"/>
      <c r="F94" s="28"/>
    </row>
    <row r="95" spans="4:6" ht="14.25">
      <c r="D95" s="28"/>
      <c r="E95" s="28"/>
      <c r="F95" s="28"/>
    </row>
    <row r="96" spans="4:6" ht="14.25">
      <c r="D96" s="28"/>
      <c r="E96" s="28"/>
      <c r="F96" s="28"/>
    </row>
    <row r="97" spans="4:6" ht="14.25">
      <c r="D97" s="28"/>
      <c r="E97" s="28"/>
      <c r="F97" s="28"/>
    </row>
    <row r="98" spans="4:6" ht="14.25">
      <c r="D98" s="28"/>
      <c r="E98" s="28"/>
      <c r="F98" s="28"/>
    </row>
    <row r="99" spans="4:6" ht="14.25">
      <c r="D99" s="28"/>
      <c r="E99" s="28"/>
      <c r="F99" s="28"/>
    </row>
    <row r="100" spans="4:6" ht="14.25">
      <c r="D100" s="28"/>
      <c r="E100" s="28"/>
      <c r="F100" s="28"/>
    </row>
    <row r="101" spans="4:6" ht="14.25">
      <c r="D101" s="28"/>
      <c r="E101" s="28"/>
      <c r="F101" s="28"/>
    </row>
    <row r="102" spans="4:6" ht="14.25">
      <c r="D102" s="28"/>
      <c r="E102" s="28"/>
      <c r="F102" s="28"/>
    </row>
    <row r="103" spans="4:6" ht="14.25">
      <c r="D103" s="28"/>
      <c r="E103" s="28"/>
      <c r="F103" s="28"/>
    </row>
    <row r="104" spans="4:6" ht="14.25">
      <c r="D104" s="28"/>
      <c r="E104" s="28"/>
      <c r="F104" s="28"/>
    </row>
    <row r="105" spans="4:6" ht="14.25">
      <c r="D105" s="28"/>
      <c r="E105" s="28"/>
      <c r="F105" s="28"/>
    </row>
    <row r="106" spans="4:6" ht="14.25">
      <c r="D106" s="28"/>
      <c r="E106" s="28"/>
      <c r="F106" s="28"/>
    </row>
    <row r="107" spans="4:6" ht="14.25">
      <c r="D107" s="28"/>
      <c r="E107" s="28"/>
      <c r="F107" s="28"/>
    </row>
    <row r="108" spans="4:6" ht="14.25">
      <c r="D108" s="28"/>
      <c r="E108" s="28"/>
      <c r="F108" s="28"/>
    </row>
    <row r="109" spans="4:6" ht="14.25">
      <c r="D109" s="28"/>
      <c r="E109" s="28"/>
      <c r="F109" s="28"/>
    </row>
    <row r="110" spans="4:6" ht="14.25">
      <c r="D110" s="28"/>
      <c r="E110" s="28"/>
      <c r="F110" s="28"/>
    </row>
    <row r="111" spans="4:6" ht="14.25">
      <c r="D111" s="28"/>
      <c r="E111" s="28"/>
      <c r="F111" s="28"/>
    </row>
    <row r="112" spans="4:6" ht="14.25">
      <c r="D112" s="28"/>
      <c r="E112" s="28"/>
      <c r="F112" s="28"/>
    </row>
    <row r="113" spans="4:6" ht="14.25">
      <c r="D113" s="28"/>
      <c r="E113" s="28"/>
      <c r="F113" s="28"/>
    </row>
    <row r="114" spans="4:6" ht="14.25">
      <c r="D114" s="28"/>
      <c r="E114" s="28"/>
      <c r="F114" s="28"/>
    </row>
    <row r="115" spans="4:6" ht="14.25">
      <c r="D115" s="28"/>
      <c r="E115" s="28"/>
      <c r="F115" s="28"/>
    </row>
    <row r="116" spans="4:6" ht="14.25">
      <c r="D116" s="28"/>
      <c r="E116" s="28"/>
      <c r="F116" s="28"/>
    </row>
    <row r="117" spans="4:6" ht="14.25">
      <c r="D117" s="28"/>
      <c r="E117" s="28"/>
      <c r="F117" s="28"/>
    </row>
    <row r="118" spans="4:6" ht="14.25">
      <c r="D118" s="28"/>
      <c r="E118" s="28"/>
      <c r="F118" s="28"/>
    </row>
    <row r="119" spans="4:6" ht="14.25">
      <c r="D119" s="28"/>
      <c r="E119" s="28"/>
      <c r="F119" s="28"/>
    </row>
    <row r="120" spans="4:6" ht="14.25">
      <c r="D120" s="28"/>
      <c r="E120" s="28"/>
      <c r="F120" s="28"/>
    </row>
    <row r="121" spans="4:6" ht="14.25">
      <c r="D121" s="28"/>
      <c r="E121" s="28"/>
      <c r="F121" s="28"/>
    </row>
    <row r="122" spans="4:6" ht="14.25">
      <c r="D122" s="28"/>
      <c r="E122" s="28"/>
      <c r="F122" s="28"/>
    </row>
    <row r="123" spans="4:6" ht="14.25">
      <c r="D123" s="28"/>
      <c r="E123" s="28"/>
      <c r="F123" s="28"/>
    </row>
    <row r="124" spans="4:6" ht="14.25">
      <c r="D124" s="28"/>
      <c r="E124" s="28"/>
      <c r="F124" s="28"/>
    </row>
    <row r="125" spans="4:6" ht="14.25">
      <c r="D125" s="28"/>
      <c r="E125" s="28"/>
      <c r="F125" s="28"/>
    </row>
    <row r="126" spans="4:6" ht="14.25">
      <c r="D126" s="28"/>
      <c r="E126" s="28"/>
      <c r="F126" s="28"/>
    </row>
  </sheetData>
  <sheetProtection/>
  <mergeCells count="4">
    <mergeCell ref="A1:F1"/>
    <mergeCell ref="G10:H10"/>
    <mergeCell ref="A33:F33"/>
    <mergeCell ref="G42:H4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32"/>
  <sheetViews>
    <sheetView zoomScalePageLayoutView="0" workbookViewId="0" topLeftCell="A1">
      <selection activeCell="F10" sqref="F10"/>
    </sheetView>
  </sheetViews>
  <sheetFormatPr defaultColWidth="9.140625" defaultRowHeight="12.75"/>
  <cols>
    <col min="1" max="1" width="3.57421875" style="4" customWidth="1"/>
    <col min="2" max="2" width="61.8515625" style="4" customWidth="1"/>
    <col min="3" max="3" width="15.140625" style="5" hidden="1" customWidth="1"/>
    <col min="4" max="4" width="17.140625" style="5" hidden="1" customWidth="1"/>
    <col min="5" max="5" width="15.28125" style="5" customWidth="1"/>
    <col min="6" max="6" width="65.00390625" style="5" customWidth="1"/>
    <col min="7" max="7" width="16.28125" style="4" hidden="1" customWidth="1"/>
    <col min="8" max="8" width="17.140625" style="4" hidden="1" customWidth="1"/>
    <col min="9" max="9" width="13.57421875" style="4" customWidth="1"/>
    <col min="10" max="10" width="9.140625" style="4" customWidth="1"/>
    <col min="11" max="11" width="10.140625" style="4" bestFit="1" customWidth="1"/>
    <col min="12" max="16384" width="9.140625" style="4" customWidth="1"/>
  </cols>
  <sheetData>
    <row r="1" spans="1:8" ht="20.25">
      <c r="A1" s="486" t="s">
        <v>43</v>
      </c>
      <c r="B1" s="486"/>
      <c r="C1" s="486"/>
      <c r="D1" s="486"/>
      <c r="E1" s="486"/>
      <c r="F1" s="486"/>
      <c r="G1" s="486"/>
      <c r="H1" s="486"/>
    </row>
    <row r="2" spans="3:6" ht="14.25">
      <c r="C2" s="4"/>
      <c r="D2" s="4"/>
      <c r="E2" s="4"/>
      <c r="F2" s="4"/>
    </row>
    <row r="3" spans="1:6" ht="15.75">
      <c r="A3" s="24" t="s">
        <v>210</v>
      </c>
      <c r="B3" s="3"/>
      <c r="C3" s="3"/>
      <c r="D3" s="3"/>
      <c r="E3" s="3"/>
      <c r="F3" s="3"/>
    </row>
    <row r="4" spans="1:6" ht="15">
      <c r="A4" s="3" t="s">
        <v>12</v>
      </c>
      <c r="B4" s="3"/>
      <c r="C4" s="3"/>
      <c r="D4" s="3"/>
      <c r="E4" s="3"/>
      <c r="F4" s="3"/>
    </row>
    <row r="5" spans="1:7" ht="15.75">
      <c r="A5" s="2" t="s">
        <v>12</v>
      </c>
      <c r="B5" s="2" t="s">
        <v>129</v>
      </c>
      <c r="C5" s="3"/>
      <c r="D5" s="3"/>
      <c r="E5" s="3"/>
      <c r="F5" s="3"/>
      <c r="G5" s="57" t="s">
        <v>12</v>
      </c>
    </row>
    <row r="6" spans="3:6" ht="14.25">
      <c r="C6" s="4"/>
      <c r="D6" s="4"/>
      <c r="E6" s="4"/>
      <c r="F6" s="4"/>
    </row>
    <row r="7" spans="3:8" ht="15">
      <c r="C7" s="485" t="s">
        <v>44</v>
      </c>
      <c r="D7" s="485"/>
      <c r="E7" s="59"/>
      <c r="F7" s="25"/>
      <c r="G7" s="485" t="s">
        <v>44</v>
      </c>
      <c r="H7" s="485"/>
    </row>
    <row r="8" spans="3:9" ht="14.25" customHeight="1">
      <c r="C8" s="487" t="s">
        <v>169</v>
      </c>
      <c r="D8" s="488" t="s">
        <v>82</v>
      </c>
      <c r="E8" s="488" t="s">
        <v>209</v>
      </c>
      <c r="F8" s="23"/>
      <c r="G8" s="487" t="s">
        <v>169</v>
      </c>
      <c r="H8" s="488" t="s">
        <v>82</v>
      </c>
      <c r="I8" s="488" t="s">
        <v>209</v>
      </c>
    </row>
    <row r="9" spans="3:9" ht="27.75" customHeight="1">
      <c r="C9" s="487"/>
      <c r="D9" s="488"/>
      <c r="E9" s="487"/>
      <c r="F9" s="22"/>
      <c r="G9" s="487"/>
      <c r="H9" s="488"/>
      <c r="I9" s="487"/>
    </row>
    <row r="10" spans="3:6" ht="14.25">
      <c r="C10" s="4"/>
      <c r="D10" s="4"/>
      <c r="E10" s="168" t="s">
        <v>12</v>
      </c>
      <c r="F10" s="4"/>
    </row>
    <row r="11" spans="2:9" ht="14.25">
      <c r="B11" s="4" t="s">
        <v>127</v>
      </c>
      <c r="C11" s="5">
        <f>+'MARCH -15 final result'!E39</f>
        <v>-1498.44</v>
      </c>
      <c r="D11" s="5">
        <v>0</v>
      </c>
      <c r="E11" s="5" t="e">
        <f>+'MARCH -15 final result'!#REF!</f>
        <v>#REF!</v>
      </c>
      <c r="F11" s="4" t="s">
        <v>95</v>
      </c>
      <c r="G11" s="5">
        <f>+'MARCH -15 final result'!E37</f>
        <v>-1498.44</v>
      </c>
      <c r="H11" s="5">
        <v>0</v>
      </c>
      <c r="I11" s="5" t="e">
        <f>+'MARCH -15 final result'!#REF!</f>
        <v>#REF!</v>
      </c>
    </row>
    <row r="12" spans="2:9" ht="14.25">
      <c r="B12" s="4" t="s">
        <v>141</v>
      </c>
      <c r="E12" s="5" t="e">
        <f>'MARCH -15 final result'!#REF!</f>
        <v>#REF!</v>
      </c>
      <c r="F12" s="4" t="s">
        <v>141</v>
      </c>
      <c r="G12" s="5"/>
      <c r="H12" s="5"/>
      <c r="I12" s="5" t="e">
        <f>+E12</f>
        <v>#REF!</v>
      </c>
    </row>
    <row r="13" spans="2:9" ht="14.25">
      <c r="B13" s="4" t="s">
        <v>69</v>
      </c>
      <c r="E13" s="5" t="e">
        <f>+'MARCH -15 final result'!#REF!</f>
        <v>#REF!</v>
      </c>
      <c r="F13" s="4" t="s">
        <v>69</v>
      </c>
      <c r="G13" s="5"/>
      <c r="H13" s="5"/>
      <c r="I13" s="5" t="e">
        <f>+E13</f>
        <v>#REF!</v>
      </c>
    </row>
    <row r="14" spans="2:9" ht="14.25">
      <c r="B14" s="4" t="s">
        <v>3</v>
      </c>
      <c r="E14" s="5">
        <v>0</v>
      </c>
      <c r="F14" s="4"/>
      <c r="G14" s="5"/>
      <c r="H14" s="5"/>
      <c r="I14" s="5">
        <v>0</v>
      </c>
    </row>
    <row r="15" spans="3:9" ht="15">
      <c r="C15" s="77"/>
      <c r="D15" s="77"/>
      <c r="E15" s="77" t="e">
        <f>+E11+E12+E13+E14</f>
        <v>#REF!</v>
      </c>
      <c r="F15" s="4"/>
      <c r="G15" s="77"/>
      <c r="H15" s="77"/>
      <c r="I15" s="77" t="e">
        <f>+I11+I12+I13+I14</f>
        <v>#REF!</v>
      </c>
    </row>
    <row r="16" spans="2:9" ht="14.25">
      <c r="B16" s="4" t="s">
        <v>128</v>
      </c>
      <c r="C16" s="84" t="e">
        <f>+#REF!</f>
        <v>#REF!</v>
      </c>
      <c r="E16" s="84" t="e">
        <f>+#REF!</f>
        <v>#REF!</v>
      </c>
      <c r="F16" s="4" t="s">
        <v>128</v>
      </c>
      <c r="G16" s="84" t="e">
        <f>+C16</f>
        <v>#REF!</v>
      </c>
      <c r="H16" s="5"/>
      <c r="I16" s="84" t="e">
        <f>+E16</f>
        <v>#REF!</v>
      </c>
    </row>
    <row r="17" spans="6:9" ht="14.25">
      <c r="F17" s="4"/>
      <c r="G17" s="5"/>
      <c r="H17" s="5"/>
      <c r="I17" s="5"/>
    </row>
    <row r="18" spans="2:9" ht="14.25">
      <c r="B18" s="20"/>
      <c r="C18" s="21"/>
      <c r="D18" s="21"/>
      <c r="E18" s="21"/>
      <c r="F18" s="21"/>
      <c r="G18" s="21"/>
      <c r="H18" s="21"/>
      <c r="I18" s="21"/>
    </row>
    <row r="19" spans="2:9" ht="14.25">
      <c r="B19" s="4" t="s">
        <v>55</v>
      </c>
      <c r="C19" s="16" t="e">
        <f>+C11*100000/C16</f>
        <v>#REF!</v>
      </c>
      <c r="D19" s="16" t="e">
        <f>+D11/#REF!*100000</f>
        <v>#REF!</v>
      </c>
      <c r="E19" s="16" t="e">
        <f>+E15*100000/E16</f>
        <v>#REF!</v>
      </c>
      <c r="F19" s="4" t="s">
        <v>55</v>
      </c>
      <c r="G19" s="16" t="e">
        <f>+G11*100000/G16</f>
        <v>#REF!</v>
      </c>
      <c r="H19" s="16" t="e">
        <f>+H11/#REF!*100000</f>
        <v>#REF!</v>
      </c>
      <c r="I19" s="16" t="e">
        <f>+I15*100000/I16</f>
        <v>#REF!</v>
      </c>
    </row>
    <row r="20" spans="3:9" ht="14.25">
      <c r="C20" s="15"/>
      <c r="D20" s="15"/>
      <c r="E20" s="15"/>
      <c r="F20" s="4"/>
      <c r="G20" s="15"/>
      <c r="H20" s="15"/>
      <c r="I20" s="15"/>
    </row>
    <row r="22" spans="3:6" ht="14.25">
      <c r="C22" s="28"/>
      <c r="D22" s="28"/>
      <c r="E22" s="28"/>
      <c r="F22" s="28"/>
    </row>
    <row r="23" spans="1:7" ht="15.75">
      <c r="A23" s="2" t="s">
        <v>12</v>
      </c>
      <c r="B23" s="2" t="s">
        <v>130</v>
      </c>
      <c r="C23" s="3"/>
      <c r="D23" s="3"/>
      <c r="E23" s="3"/>
      <c r="F23" s="3"/>
      <c r="G23" s="57" t="s">
        <v>12</v>
      </c>
    </row>
    <row r="24" spans="3:6" ht="14.25">
      <c r="C24" s="4"/>
      <c r="D24" s="4"/>
      <c r="E24" s="4"/>
      <c r="F24" s="4"/>
    </row>
    <row r="25" spans="3:8" ht="15">
      <c r="C25" s="485" t="s">
        <v>44</v>
      </c>
      <c r="D25" s="485"/>
      <c r="E25" s="59"/>
      <c r="F25" s="25"/>
      <c r="G25" s="485" t="s">
        <v>44</v>
      </c>
      <c r="H25" s="485"/>
    </row>
    <row r="26" spans="3:9" ht="14.25" customHeight="1">
      <c r="C26" s="487" t="s">
        <v>117</v>
      </c>
      <c r="D26" s="488" t="s">
        <v>82</v>
      </c>
      <c r="E26" s="488" t="str">
        <f>+E8</f>
        <v>Year  ended 31.03.2012</v>
      </c>
      <c r="F26" s="23"/>
      <c r="G26" s="487" t="s">
        <v>117</v>
      </c>
      <c r="H26" s="488" t="s">
        <v>82</v>
      </c>
      <c r="I26" s="488" t="str">
        <f>+I8</f>
        <v>Year  ended 31.03.2012</v>
      </c>
    </row>
    <row r="27" spans="3:9" ht="26.25" customHeight="1">
      <c r="C27" s="487"/>
      <c r="D27" s="488"/>
      <c r="E27" s="488"/>
      <c r="F27" s="22"/>
      <c r="G27" s="487"/>
      <c r="H27" s="488"/>
      <c r="I27" s="488"/>
    </row>
    <row r="28" spans="3:6" ht="14.25">
      <c r="C28" s="4"/>
      <c r="D28" s="4"/>
      <c r="E28" s="4"/>
      <c r="F28" s="4"/>
    </row>
    <row r="29" spans="2:9" ht="14.25">
      <c r="B29" s="4" t="s">
        <v>135</v>
      </c>
      <c r="C29" s="5">
        <f>+C11</f>
        <v>-1498.44</v>
      </c>
      <c r="D29" s="5">
        <v>0</v>
      </c>
      <c r="E29" s="5" t="e">
        <f>+E11</f>
        <v>#REF!</v>
      </c>
      <c r="F29" s="4" t="s">
        <v>137</v>
      </c>
      <c r="G29" s="5">
        <f>+G11</f>
        <v>-1498.44</v>
      </c>
      <c r="H29" s="5">
        <v>0</v>
      </c>
      <c r="I29" s="5" t="e">
        <f>+I11</f>
        <v>#REF!</v>
      </c>
    </row>
    <row r="30" spans="2:9" ht="14.25">
      <c r="B30" s="4" t="s">
        <v>141</v>
      </c>
      <c r="E30" s="5" t="e">
        <f>+E12</f>
        <v>#REF!</v>
      </c>
      <c r="F30" s="4" t="s">
        <v>141</v>
      </c>
      <c r="G30" s="5"/>
      <c r="H30" s="5"/>
      <c r="I30" s="5" t="e">
        <f>+I12</f>
        <v>#REF!</v>
      </c>
    </row>
    <row r="31" spans="2:9" ht="14.25">
      <c r="B31" s="4" t="s">
        <v>3</v>
      </c>
      <c r="E31" s="5">
        <v>0</v>
      </c>
      <c r="F31" s="4"/>
      <c r="G31" s="5"/>
      <c r="H31" s="5"/>
      <c r="I31" s="5">
        <v>0</v>
      </c>
    </row>
    <row r="32" spans="5:9" ht="14.25">
      <c r="E32" s="5" t="e">
        <f>+E29+E30+E31</f>
        <v>#REF!</v>
      </c>
      <c r="F32" s="4"/>
      <c r="G32" s="5"/>
      <c r="H32" s="5"/>
      <c r="I32" s="5" t="e">
        <f>+I29-I30+I31</f>
        <v>#REF!</v>
      </c>
    </row>
    <row r="33" spans="2:9" ht="14.25">
      <c r="B33" s="4" t="s">
        <v>132</v>
      </c>
      <c r="C33" s="28">
        <f>5288897/100000</f>
        <v>52.88897</v>
      </c>
      <c r="D33" s="28"/>
      <c r="E33" s="28">
        <v>0</v>
      </c>
      <c r="F33" s="4" t="s">
        <v>132</v>
      </c>
      <c r="G33" s="28">
        <f>5288897/100000</f>
        <v>52.88897</v>
      </c>
      <c r="H33" s="28"/>
      <c r="I33" s="28">
        <v>0</v>
      </c>
    </row>
    <row r="34" spans="2:9" ht="14.25">
      <c r="B34" s="4" t="s">
        <v>133</v>
      </c>
      <c r="C34" s="85">
        <f>+C33*27.59%</f>
        <v>14.592066823</v>
      </c>
      <c r="D34" s="28"/>
      <c r="E34" s="85">
        <f>+E33*30.9%</f>
        <v>0</v>
      </c>
      <c r="F34" s="4" t="s">
        <v>133</v>
      </c>
      <c r="G34" s="85">
        <f>+G33*27.59%</f>
        <v>14.592066823</v>
      </c>
      <c r="H34" s="85">
        <f>+H33*30.9%</f>
        <v>0</v>
      </c>
      <c r="I34" s="85">
        <f>+I33*30.9%</f>
        <v>0</v>
      </c>
    </row>
    <row r="35" spans="2:9" ht="15">
      <c r="B35" s="3" t="s">
        <v>134</v>
      </c>
      <c r="C35" s="29">
        <f>+C33-C34</f>
        <v>38.296903177000004</v>
      </c>
      <c r="D35" s="29"/>
      <c r="E35" s="29">
        <f>+E33-E34</f>
        <v>0</v>
      </c>
      <c r="F35" s="3" t="s">
        <v>134</v>
      </c>
      <c r="G35" s="29">
        <f>+G33-G34</f>
        <v>38.296903177000004</v>
      </c>
      <c r="H35" s="29"/>
      <c r="I35" s="29">
        <f>+I33-I34</f>
        <v>0</v>
      </c>
    </row>
    <row r="36" spans="2:9" ht="15">
      <c r="B36" s="3"/>
      <c r="C36" s="29"/>
      <c r="D36" s="29"/>
      <c r="E36" s="29"/>
      <c r="F36" s="3"/>
      <c r="G36" s="29"/>
      <c r="H36" s="29"/>
      <c r="I36" s="29"/>
    </row>
    <row r="37" spans="2:9" ht="14.25">
      <c r="B37" s="4" t="s">
        <v>138</v>
      </c>
      <c r="C37" s="28">
        <f>+C29+C35</f>
        <v>-1460.143096823</v>
      </c>
      <c r="D37" s="28"/>
      <c r="E37" s="28" t="e">
        <f>+E32+E35</f>
        <v>#REF!</v>
      </c>
      <c r="F37" s="4" t="s">
        <v>138</v>
      </c>
      <c r="G37" s="28">
        <f>+G29+G35</f>
        <v>-1460.143096823</v>
      </c>
      <c r="H37" s="28">
        <f>+H29+H35</f>
        <v>0</v>
      </c>
      <c r="I37" s="28" t="e">
        <f>+I32+I35</f>
        <v>#REF!</v>
      </c>
    </row>
    <row r="38" spans="3:9" ht="14.25">
      <c r="C38" s="28"/>
      <c r="D38" s="28"/>
      <c r="E38" s="28"/>
      <c r="F38" s="4"/>
      <c r="G38" s="5"/>
      <c r="H38" s="5"/>
      <c r="I38" s="5"/>
    </row>
    <row r="39" spans="3:9" ht="15">
      <c r="C39" s="77"/>
      <c r="D39" s="77"/>
      <c r="E39" s="77"/>
      <c r="F39" s="4"/>
      <c r="G39" s="77"/>
      <c r="H39" s="77"/>
      <c r="I39" s="77"/>
    </row>
    <row r="40" spans="2:11" ht="14.25">
      <c r="B40" s="4" t="s">
        <v>131</v>
      </c>
      <c r="C40" s="84" t="e">
        <f>+#REF!</f>
        <v>#REF!</v>
      </c>
      <c r="E40" s="84" t="e">
        <f>+#REF!</f>
        <v>#REF!</v>
      </c>
      <c r="F40" s="4" t="s">
        <v>128</v>
      </c>
      <c r="G40" s="84" t="e">
        <f>+C40</f>
        <v>#REF!</v>
      </c>
      <c r="H40" s="5"/>
      <c r="I40" s="84" t="e">
        <f>+E40</f>
        <v>#REF!</v>
      </c>
      <c r="K40" s="4" t="s">
        <v>12</v>
      </c>
    </row>
    <row r="41" spans="6:9" ht="14.25">
      <c r="F41" s="4"/>
      <c r="G41" s="5"/>
      <c r="H41" s="5"/>
      <c r="I41" s="5"/>
    </row>
    <row r="42" spans="2:9" ht="14.25">
      <c r="B42" s="20"/>
      <c r="C42" s="21"/>
      <c r="D42" s="21"/>
      <c r="E42" s="21"/>
      <c r="F42" s="21"/>
      <c r="G42" s="21"/>
      <c r="H42" s="21"/>
      <c r="I42" s="21"/>
    </row>
    <row r="43" spans="2:9" ht="14.25">
      <c r="B43" s="4" t="s">
        <v>136</v>
      </c>
      <c r="C43" s="16" t="e">
        <f>(+C37*100000)/C40</f>
        <v>#REF!</v>
      </c>
      <c r="D43" s="16" t="e">
        <f>+D29/#REF!*100000</f>
        <v>#REF!</v>
      </c>
      <c r="E43" s="16" t="e">
        <f>(+E37*100000)/E40</f>
        <v>#REF!</v>
      </c>
      <c r="F43" s="4" t="s">
        <v>136</v>
      </c>
      <c r="G43" s="16" t="e">
        <f>(+G37*100000)/G40</f>
        <v>#REF!</v>
      </c>
      <c r="H43" s="16" t="e">
        <f>(+H37*100000)/H40</f>
        <v>#DIV/0!</v>
      </c>
      <c r="I43" s="16" t="e">
        <f>(+I37*100000)/I40</f>
        <v>#REF!</v>
      </c>
    </row>
    <row r="44" spans="3:9" ht="14.25">
      <c r="C44" s="15"/>
      <c r="D44" s="15"/>
      <c r="E44" s="15"/>
      <c r="F44" s="4"/>
      <c r="G44" s="15"/>
      <c r="H44" s="15"/>
      <c r="I44" s="15"/>
    </row>
    <row r="45" spans="2:6" ht="14.25">
      <c r="B45" s="4" t="s">
        <v>12</v>
      </c>
      <c r="C45" s="28"/>
      <c r="D45" s="28"/>
      <c r="E45" s="28"/>
      <c r="F45" s="28"/>
    </row>
    <row r="46" spans="3:6" ht="15">
      <c r="C46" s="485" t="s">
        <v>12</v>
      </c>
      <c r="D46" s="485"/>
      <c r="E46" s="28"/>
      <c r="F46" s="28"/>
    </row>
    <row r="47" spans="3:6" ht="14.25">
      <c r="C47" s="488" t="s">
        <v>12</v>
      </c>
      <c r="D47" s="488"/>
      <c r="E47" s="487"/>
      <c r="F47" s="28"/>
    </row>
    <row r="48" spans="3:6" ht="14.25">
      <c r="C48" s="488"/>
      <c r="D48" s="488"/>
      <c r="E48" s="487"/>
      <c r="F48" s="28"/>
    </row>
    <row r="49" spans="3:6" ht="14.25">
      <c r="C49" s="22"/>
      <c r="D49" s="22"/>
      <c r="E49" s="22"/>
      <c r="F49" s="28"/>
    </row>
    <row r="50" spans="3:6" ht="14.25">
      <c r="C50" s="4"/>
      <c r="D50" s="4"/>
      <c r="E50" s="4"/>
      <c r="F50" s="28"/>
    </row>
    <row r="51" spans="3:6" ht="14.25">
      <c r="C51" s="28"/>
      <c r="D51" s="28"/>
      <c r="E51" s="28"/>
      <c r="F51" s="28"/>
    </row>
    <row r="52" spans="2:6" ht="14.25">
      <c r="B52" s="4" t="s">
        <v>12</v>
      </c>
      <c r="C52" s="28"/>
      <c r="D52" s="28"/>
      <c r="E52" s="28"/>
      <c r="F52" s="28"/>
    </row>
    <row r="53" spans="3:6" ht="14.25">
      <c r="C53" s="28"/>
      <c r="D53" s="28"/>
      <c r="E53" s="28"/>
      <c r="F53" s="28"/>
    </row>
    <row r="54" spans="3:6" ht="14.25">
      <c r="C54" s="28"/>
      <c r="D54" s="28"/>
      <c r="E54" s="28"/>
      <c r="F54" s="28"/>
    </row>
    <row r="55" spans="3:6" ht="14.25">
      <c r="C55" s="28"/>
      <c r="D55" s="28"/>
      <c r="E55" s="28"/>
      <c r="F55" s="28"/>
    </row>
    <row r="56" spans="3:6" ht="14.25">
      <c r="C56" s="28"/>
      <c r="D56" s="28"/>
      <c r="E56" s="28"/>
      <c r="F56" s="28"/>
    </row>
    <row r="57" spans="3:6" ht="14.25">
      <c r="C57" s="28"/>
      <c r="D57" s="28"/>
      <c r="E57" s="28"/>
      <c r="F57" s="28"/>
    </row>
    <row r="58" spans="3:6" ht="14.25">
      <c r="C58" s="28"/>
      <c r="D58" s="28"/>
      <c r="E58" s="28"/>
      <c r="F58" s="28"/>
    </row>
    <row r="59" spans="3:6" ht="14.25">
      <c r="C59" s="28"/>
      <c r="D59" s="28"/>
      <c r="E59" s="28"/>
      <c r="F59" s="28"/>
    </row>
    <row r="60" spans="3:6" ht="14.25">
      <c r="C60" s="28"/>
      <c r="D60" s="28"/>
      <c r="E60" s="28"/>
      <c r="F60" s="28"/>
    </row>
    <row r="61" spans="3:6" ht="14.25">
      <c r="C61" s="28"/>
      <c r="D61" s="28"/>
      <c r="E61" s="28"/>
      <c r="F61" s="28"/>
    </row>
    <row r="62" spans="3:6" ht="14.25">
      <c r="C62" s="28"/>
      <c r="D62" s="28"/>
      <c r="E62" s="28"/>
      <c r="F62" s="28"/>
    </row>
    <row r="63" spans="3:6" ht="14.25">
      <c r="C63" s="28"/>
      <c r="D63" s="28"/>
      <c r="E63" s="28"/>
      <c r="F63" s="28"/>
    </row>
    <row r="64" spans="3:6" ht="14.25">
      <c r="C64" s="28"/>
      <c r="D64" s="28"/>
      <c r="E64" s="28"/>
      <c r="F64" s="28"/>
    </row>
    <row r="65" spans="3:6" ht="14.25">
      <c r="C65" s="28"/>
      <c r="D65" s="28"/>
      <c r="E65" s="28"/>
      <c r="F65" s="28"/>
    </row>
    <row r="66" spans="3:6" ht="14.25">
      <c r="C66" s="28"/>
      <c r="D66" s="28"/>
      <c r="E66" s="28"/>
      <c r="F66" s="28"/>
    </row>
    <row r="67" spans="3:6" ht="14.25">
      <c r="C67" s="28"/>
      <c r="D67" s="28"/>
      <c r="E67" s="28"/>
      <c r="F67" s="28"/>
    </row>
    <row r="68" spans="3:6" ht="14.25">
      <c r="C68" s="28"/>
      <c r="D68" s="28"/>
      <c r="E68" s="28"/>
      <c r="F68" s="28"/>
    </row>
    <row r="69" spans="3:6" ht="14.25">
      <c r="C69" s="28"/>
      <c r="D69" s="28"/>
      <c r="E69" s="28"/>
      <c r="F69" s="28"/>
    </row>
    <row r="70" spans="3:6" ht="14.25">
      <c r="C70" s="28"/>
      <c r="D70" s="28"/>
      <c r="E70" s="28"/>
      <c r="F70" s="28"/>
    </row>
    <row r="71" spans="3:6" ht="14.25">
      <c r="C71" s="28"/>
      <c r="D71" s="28"/>
      <c r="E71" s="28"/>
      <c r="F71" s="28"/>
    </row>
    <row r="72" spans="3:6" ht="14.25">
      <c r="C72" s="28"/>
      <c r="D72" s="28"/>
      <c r="E72" s="28"/>
      <c r="F72" s="28"/>
    </row>
    <row r="73" spans="3:6" ht="14.25">
      <c r="C73" s="28"/>
      <c r="D73" s="28"/>
      <c r="E73" s="28"/>
      <c r="F73" s="28"/>
    </row>
    <row r="74" spans="3:6" ht="14.25">
      <c r="C74" s="28"/>
      <c r="D74" s="28"/>
      <c r="E74" s="28"/>
      <c r="F74" s="28"/>
    </row>
    <row r="75" spans="3:6" ht="14.25">
      <c r="C75" s="28"/>
      <c r="D75" s="28"/>
      <c r="E75" s="28"/>
      <c r="F75" s="28"/>
    </row>
    <row r="76" spans="3:6" ht="14.25">
      <c r="C76" s="28"/>
      <c r="D76" s="28"/>
      <c r="E76" s="28"/>
      <c r="F76" s="28"/>
    </row>
    <row r="77" spans="3:6" ht="14.25">
      <c r="C77" s="28"/>
      <c r="D77" s="28"/>
      <c r="E77" s="28"/>
      <c r="F77" s="28"/>
    </row>
    <row r="78" spans="3:6" ht="14.25">
      <c r="C78" s="28"/>
      <c r="D78" s="28"/>
      <c r="E78" s="28"/>
      <c r="F78" s="28"/>
    </row>
    <row r="79" spans="3:6" ht="14.25">
      <c r="C79" s="28"/>
      <c r="D79" s="28"/>
      <c r="E79" s="28"/>
      <c r="F79" s="28"/>
    </row>
    <row r="80" spans="3:6" ht="14.25">
      <c r="C80" s="28"/>
      <c r="D80" s="28"/>
      <c r="E80" s="28"/>
      <c r="F80" s="28"/>
    </row>
    <row r="81" spans="3:6" ht="14.25">
      <c r="C81" s="28"/>
      <c r="D81" s="28"/>
      <c r="E81" s="28"/>
      <c r="F81" s="28"/>
    </row>
    <row r="82" spans="3:6" ht="14.25">
      <c r="C82" s="28"/>
      <c r="D82" s="28"/>
      <c r="E82" s="28"/>
      <c r="F82" s="28"/>
    </row>
    <row r="83" spans="3:6" ht="14.25">
      <c r="C83" s="28"/>
      <c r="D83" s="28"/>
      <c r="E83" s="28"/>
      <c r="F83" s="28"/>
    </row>
    <row r="84" spans="3:6" ht="14.25">
      <c r="C84" s="28"/>
      <c r="D84" s="28"/>
      <c r="E84" s="28"/>
      <c r="F84" s="28"/>
    </row>
    <row r="85" spans="3:6" ht="14.25">
      <c r="C85" s="28"/>
      <c r="D85" s="28"/>
      <c r="E85" s="28"/>
      <c r="F85" s="28"/>
    </row>
    <row r="86" spans="3:6" ht="14.25">
      <c r="C86" s="28"/>
      <c r="D86" s="28"/>
      <c r="E86" s="28"/>
      <c r="F86" s="28"/>
    </row>
    <row r="87" spans="3:6" ht="14.25">
      <c r="C87" s="28"/>
      <c r="D87" s="28"/>
      <c r="E87" s="28"/>
      <c r="F87" s="28"/>
    </row>
    <row r="88" spans="3:6" ht="14.25">
      <c r="C88" s="28"/>
      <c r="D88" s="28"/>
      <c r="E88" s="28"/>
      <c r="F88" s="28"/>
    </row>
    <row r="89" spans="3:6" ht="14.25">
      <c r="C89" s="28"/>
      <c r="D89" s="28"/>
      <c r="E89" s="28"/>
      <c r="F89" s="28"/>
    </row>
    <row r="90" spans="3:6" ht="14.25">
      <c r="C90" s="28"/>
      <c r="D90" s="28"/>
      <c r="E90" s="28"/>
      <c r="F90" s="28"/>
    </row>
    <row r="91" spans="3:6" ht="14.25">
      <c r="C91" s="28"/>
      <c r="D91" s="28"/>
      <c r="E91" s="28"/>
      <c r="F91" s="28"/>
    </row>
    <row r="92" spans="3:6" ht="14.25">
      <c r="C92" s="28"/>
      <c r="D92" s="28"/>
      <c r="E92" s="28"/>
      <c r="F92" s="28"/>
    </row>
    <row r="93" spans="3:6" ht="14.25">
      <c r="C93" s="28"/>
      <c r="D93" s="28"/>
      <c r="E93" s="28"/>
      <c r="F93" s="28"/>
    </row>
    <row r="94" spans="3:6" ht="14.25">
      <c r="C94" s="28"/>
      <c r="D94" s="28"/>
      <c r="E94" s="28"/>
      <c r="F94" s="28"/>
    </row>
    <row r="95" spans="3:6" ht="14.25">
      <c r="C95" s="28"/>
      <c r="D95" s="28"/>
      <c r="E95" s="28"/>
      <c r="F95" s="28"/>
    </row>
    <row r="96" spans="3:6" ht="14.25">
      <c r="C96" s="28"/>
      <c r="D96" s="28"/>
      <c r="E96" s="28"/>
      <c r="F96" s="28"/>
    </row>
    <row r="97" spans="3:6" ht="14.25">
      <c r="C97" s="28"/>
      <c r="D97" s="28"/>
      <c r="E97" s="28"/>
      <c r="F97" s="28"/>
    </row>
    <row r="98" spans="3:6" ht="14.25">
      <c r="C98" s="28"/>
      <c r="D98" s="28"/>
      <c r="E98" s="28"/>
      <c r="F98" s="28"/>
    </row>
    <row r="99" spans="3:6" ht="14.25">
      <c r="C99" s="28"/>
      <c r="D99" s="28"/>
      <c r="E99" s="28"/>
      <c r="F99" s="28"/>
    </row>
    <row r="100" spans="3:6" ht="14.25">
      <c r="C100" s="28"/>
      <c r="D100" s="28"/>
      <c r="E100" s="28"/>
      <c r="F100" s="28"/>
    </row>
    <row r="101" spans="3:6" ht="14.25">
      <c r="C101" s="28"/>
      <c r="D101" s="28"/>
      <c r="E101" s="28"/>
      <c r="F101" s="28"/>
    </row>
    <row r="102" spans="3:6" ht="14.25">
      <c r="C102" s="28"/>
      <c r="D102" s="28"/>
      <c r="E102" s="28"/>
      <c r="F102" s="28"/>
    </row>
    <row r="103" spans="3:6" ht="14.25">
      <c r="C103" s="28"/>
      <c r="D103" s="28"/>
      <c r="E103" s="28"/>
      <c r="F103" s="28"/>
    </row>
    <row r="104" spans="3:6" ht="14.25">
      <c r="C104" s="28"/>
      <c r="D104" s="28"/>
      <c r="E104" s="28"/>
      <c r="F104" s="28"/>
    </row>
    <row r="105" spans="3:6" ht="14.25">
      <c r="C105" s="28"/>
      <c r="D105" s="28"/>
      <c r="E105" s="28"/>
      <c r="F105" s="28"/>
    </row>
    <row r="106" spans="3:6" ht="14.25">
      <c r="C106" s="28"/>
      <c r="D106" s="28"/>
      <c r="E106" s="28"/>
      <c r="F106" s="28"/>
    </row>
    <row r="107" spans="3:6" ht="14.25">
      <c r="C107" s="28"/>
      <c r="D107" s="28"/>
      <c r="E107" s="28"/>
      <c r="F107" s="28"/>
    </row>
    <row r="108" spans="3:6" ht="14.25">
      <c r="C108" s="28"/>
      <c r="D108" s="28"/>
      <c r="E108" s="28"/>
      <c r="F108" s="28"/>
    </row>
    <row r="109" spans="3:6" ht="14.25">
      <c r="C109" s="28"/>
      <c r="D109" s="28"/>
      <c r="E109" s="28"/>
      <c r="F109" s="28"/>
    </row>
    <row r="110" spans="3:6" ht="14.25">
      <c r="C110" s="28"/>
      <c r="D110" s="28"/>
      <c r="E110" s="28"/>
      <c r="F110" s="28"/>
    </row>
    <row r="111" spans="3:6" ht="14.25">
      <c r="C111" s="28"/>
      <c r="D111" s="28"/>
      <c r="E111" s="28"/>
      <c r="F111" s="28"/>
    </row>
    <row r="112" spans="3:6" ht="14.25">
      <c r="C112" s="28"/>
      <c r="D112" s="28"/>
      <c r="E112" s="28"/>
      <c r="F112" s="28"/>
    </row>
    <row r="113" spans="3:6" ht="14.25">
      <c r="C113" s="28"/>
      <c r="D113" s="28"/>
      <c r="E113" s="28"/>
      <c r="F113" s="28"/>
    </row>
    <row r="114" spans="3:6" ht="14.25">
      <c r="C114" s="28"/>
      <c r="D114" s="28"/>
      <c r="E114" s="28"/>
      <c r="F114" s="28"/>
    </row>
    <row r="115" spans="3:6" ht="14.25">
      <c r="C115" s="28"/>
      <c r="D115" s="28"/>
      <c r="E115" s="28"/>
      <c r="F115" s="28"/>
    </row>
    <row r="116" spans="3:6" ht="14.25">
      <c r="C116" s="28"/>
      <c r="D116" s="28"/>
      <c r="E116" s="28"/>
      <c r="F116" s="28"/>
    </row>
    <row r="117" spans="3:6" ht="14.25">
      <c r="C117" s="28"/>
      <c r="D117" s="28"/>
      <c r="E117" s="28"/>
      <c r="F117" s="28"/>
    </row>
    <row r="118" spans="3:6" ht="14.25">
      <c r="C118" s="28"/>
      <c r="D118" s="28"/>
      <c r="E118" s="28"/>
      <c r="F118" s="28"/>
    </row>
    <row r="119" spans="3:6" ht="14.25">
      <c r="C119" s="28"/>
      <c r="D119" s="28"/>
      <c r="E119" s="28"/>
      <c r="F119" s="28"/>
    </row>
    <row r="120" spans="3:6" ht="14.25">
      <c r="C120" s="28"/>
      <c r="D120" s="28"/>
      <c r="E120" s="28"/>
      <c r="F120" s="28"/>
    </row>
    <row r="121" spans="3:6" ht="14.25">
      <c r="C121" s="28"/>
      <c r="D121" s="28"/>
      <c r="E121" s="28"/>
      <c r="F121" s="28"/>
    </row>
    <row r="122" spans="3:6" ht="14.25">
      <c r="C122" s="28"/>
      <c r="D122" s="28"/>
      <c r="E122" s="28"/>
      <c r="F122" s="28"/>
    </row>
    <row r="123" spans="3:6" ht="14.25">
      <c r="C123" s="28"/>
      <c r="D123" s="28"/>
      <c r="E123" s="28"/>
      <c r="F123" s="28"/>
    </row>
    <row r="124" spans="3:6" ht="14.25">
      <c r="C124" s="28"/>
      <c r="D124" s="28"/>
      <c r="E124" s="28"/>
      <c r="F124" s="28"/>
    </row>
    <row r="125" spans="3:6" ht="14.25">
      <c r="C125" s="28"/>
      <c r="D125" s="28"/>
      <c r="E125" s="28"/>
      <c r="F125" s="28"/>
    </row>
    <row r="126" spans="3:6" ht="14.25">
      <c r="C126" s="28"/>
      <c r="D126" s="28"/>
      <c r="E126" s="28"/>
      <c r="F126" s="28"/>
    </row>
    <row r="127" spans="3:6" ht="14.25">
      <c r="C127" s="28"/>
      <c r="D127" s="28"/>
      <c r="E127" s="28"/>
      <c r="F127" s="28"/>
    </row>
    <row r="128" spans="3:6" ht="14.25">
      <c r="C128" s="28"/>
      <c r="D128" s="28"/>
      <c r="E128" s="28"/>
      <c r="F128" s="28"/>
    </row>
    <row r="129" spans="3:6" ht="14.25">
      <c r="C129" s="28"/>
      <c r="D129" s="28"/>
      <c r="E129" s="28"/>
      <c r="F129" s="28"/>
    </row>
    <row r="130" spans="3:6" ht="14.25">
      <c r="C130" s="28"/>
      <c r="D130" s="28"/>
      <c r="E130" s="28"/>
      <c r="F130" s="28"/>
    </row>
    <row r="131" spans="3:6" ht="14.25">
      <c r="C131" s="28"/>
      <c r="D131" s="28"/>
      <c r="E131" s="28"/>
      <c r="F131" s="28"/>
    </row>
    <row r="132" spans="3:6" ht="14.25">
      <c r="C132" s="28"/>
      <c r="D132" s="28"/>
      <c r="E132" s="28"/>
      <c r="F132" s="28"/>
    </row>
  </sheetData>
  <sheetProtection/>
  <mergeCells count="21">
    <mergeCell ref="I8:I9"/>
    <mergeCell ref="C26:C27"/>
    <mergeCell ref="G25:H25"/>
    <mergeCell ref="C25:D25"/>
    <mergeCell ref="G26:G27"/>
    <mergeCell ref="I26:I27"/>
    <mergeCell ref="H26:H27"/>
    <mergeCell ref="E8:E9"/>
    <mergeCell ref="C47:C48"/>
    <mergeCell ref="D47:D48"/>
    <mergeCell ref="E47:E48"/>
    <mergeCell ref="E26:E27"/>
    <mergeCell ref="D26:D27"/>
    <mergeCell ref="C46:D46"/>
    <mergeCell ref="A1:H1"/>
    <mergeCell ref="C7:D7"/>
    <mergeCell ref="G7:H7"/>
    <mergeCell ref="C8:C9"/>
    <mergeCell ref="D8:D9"/>
    <mergeCell ref="H8:H9"/>
    <mergeCell ref="G8:G9"/>
  </mergeCells>
  <printOptions/>
  <pageMargins left="0.75" right="0.75" top="1" bottom="1" header="0.5" footer="0.5"/>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K131"/>
  <sheetViews>
    <sheetView tabSelected="1" zoomScale="85" zoomScaleNormal="85" zoomScalePageLayoutView="0" workbookViewId="0" topLeftCell="A4">
      <pane xSplit="4" ySplit="13" topLeftCell="E17" activePane="bottomRight" state="frozen"/>
      <selection pane="topLeft" activeCell="A4" sqref="A4"/>
      <selection pane="topRight" activeCell="E4" sqref="E4"/>
      <selection pane="bottomLeft" activeCell="A17" sqref="A17"/>
      <selection pane="bottomRight" activeCell="C125" sqref="C125"/>
    </sheetView>
  </sheetViews>
  <sheetFormatPr defaultColWidth="9.140625" defaultRowHeight="12.75"/>
  <cols>
    <col min="1" max="1" width="6.57421875" style="0" customWidth="1"/>
    <col min="2" max="2" width="0.42578125" style="0" customWidth="1"/>
    <col min="3" max="3" width="40.00390625" style="0" customWidth="1"/>
    <col min="4" max="4" width="12.00390625" style="0" customWidth="1"/>
    <col min="5" max="5" width="13.8515625" style="0" customWidth="1"/>
    <col min="6" max="6" width="13.28125" style="0" customWidth="1"/>
    <col min="7" max="7" width="12.8515625" style="0" customWidth="1"/>
    <col min="8" max="8" width="14.421875" style="0" customWidth="1"/>
    <col min="9" max="9" width="13.140625" style="0" customWidth="1"/>
    <col min="10" max="10" width="11.8515625" style="0" customWidth="1"/>
    <col min="11" max="11" width="15.140625" style="0" customWidth="1"/>
    <col min="17" max="17" width="9.00390625" style="0" customWidth="1"/>
    <col min="20" max="20" width="9.28125" style="0" bestFit="1" customWidth="1"/>
    <col min="23" max="23" width="16.57421875" style="0" customWidth="1"/>
  </cols>
  <sheetData>
    <row r="1" spans="9:11" ht="12.75">
      <c r="I1" s="288" t="s">
        <v>12</v>
      </c>
      <c r="J1" s="288"/>
      <c r="K1" s="286" t="s">
        <v>12</v>
      </c>
    </row>
    <row r="2" spans="1:11" ht="12.75">
      <c r="A2" t="s">
        <v>12</v>
      </c>
      <c r="I2" s="288" t="s">
        <v>254</v>
      </c>
      <c r="J2" s="288"/>
      <c r="K2" s="287" t="s">
        <v>12</v>
      </c>
    </row>
    <row r="3" spans="9:11" ht="12.75">
      <c r="I3" s="288" t="s">
        <v>255</v>
      </c>
      <c r="J3" s="288"/>
      <c r="K3" s="389" t="s">
        <v>12</v>
      </c>
    </row>
    <row r="4" spans="1:11" ht="27.75">
      <c r="A4" s="513" t="s">
        <v>11</v>
      </c>
      <c r="B4" s="513"/>
      <c r="C4" s="513"/>
      <c r="D4" s="513"/>
      <c r="E4" s="513"/>
      <c r="F4" s="513"/>
      <c r="G4" s="513"/>
      <c r="H4" s="513"/>
      <c r="I4" s="513"/>
      <c r="J4" s="513"/>
      <c r="K4" s="513"/>
    </row>
    <row r="5" spans="1:11" ht="14.25" customHeight="1">
      <c r="A5" s="514" t="s">
        <v>20</v>
      </c>
      <c r="B5" s="514"/>
      <c r="C5" s="514"/>
      <c r="D5" s="514"/>
      <c r="E5" s="514"/>
      <c r="F5" s="514"/>
      <c r="G5" s="514"/>
      <c r="H5" s="514"/>
      <c r="I5" s="514"/>
      <c r="J5" s="514"/>
      <c r="K5" s="514"/>
    </row>
    <row r="6" spans="1:11" ht="14.25" customHeight="1">
      <c r="A6" s="514" t="s">
        <v>295</v>
      </c>
      <c r="B6" s="514"/>
      <c r="C6" s="514"/>
      <c r="D6" s="514"/>
      <c r="E6" s="514"/>
      <c r="F6" s="514"/>
      <c r="G6" s="514"/>
      <c r="H6" s="514"/>
      <c r="I6" s="514"/>
      <c r="J6" s="514"/>
      <c r="K6" s="514"/>
    </row>
    <row r="7" spans="1:11" ht="14.25" customHeight="1">
      <c r="A7" s="514" t="s">
        <v>296</v>
      </c>
      <c r="B7" s="514"/>
      <c r="C7" s="514"/>
      <c r="D7" s="514"/>
      <c r="E7" s="514"/>
      <c r="F7" s="514"/>
      <c r="G7" s="514"/>
      <c r="H7" s="514"/>
      <c r="I7" s="514"/>
      <c r="J7" s="514"/>
      <c r="K7" s="514"/>
    </row>
    <row r="8" spans="1:11" ht="11.25" customHeight="1">
      <c r="A8" s="264"/>
      <c r="B8" s="264"/>
      <c r="C8" s="263"/>
      <c r="D8" s="263"/>
      <c r="E8" s="263"/>
      <c r="F8" s="263"/>
      <c r="G8" s="263"/>
      <c r="H8" s="263"/>
      <c r="I8" s="263"/>
      <c r="J8" s="263"/>
      <c r="K8" s="263"/>
    </row>
    <row r="9" spans="1:11" ht="13.5">
      <c r="A9" s="465" t="s">
        <v>318</v>
      </c>
      <c r="B9" s="465"/>
      <c r="C9" s="465"/>
      <c r="D9" s="465"/>
      <c r="E9" s="465"/>
      <c r="F9" s="465"/>
      <c r="G9" s="465"/>
      <c r="H9" s="465"/>
      <c r="I9" s="465"/>
      <c r="J9" s="465"/>
      <c r="K9" s="465"/>
    </row>
    <row r="10" spans="1:11" ht="13.5">
      <c r="A10" s="265"/>
      <c r="B10" s="265"/>
      <c r="C10" s="266"/>
      <c r="D10" s="266"/>
      <c r="E10" s="266"/>
      <c r="F10" s="266"/>
      <c r="G10" s="266"/>
      <c r="H10" s="266"/>
      <c r="I10" s="266"/>
      <c r="J10" s="266"/>
      <c r="K10" s="266"/>
    </row>
    <row r="11" spans="1:11" ht="15">
      <c r="A11" s="267" t="s">
        <v>217</v>
      </c>
      <c r="B11" s="267"/>
      <c r="C11" s="268"/>
      <c r="D11" s="268"/>
      <c r="E11" s="263"/>
      <c r="F11" s="263"/>
      <c r="G11" s="263"/>
      <c r="H11" s="263"/>
      <c r="I11" s="263" t="s">
        <v>12</v>
      </c>
      <c r="J11" s="263"/>
      <c r="K11" s="269" t="s">
        <v>299</v>
      </c>
    </row>
    <row r="12" spans="1:11" ht="24" customHeight="1">
      <c r="A12" s="272"/>
      <c r="B12" s="372"/>
      <c r="C12" s="463"/>
      <c r="D12" s="464"/>
      <c r="E12" s="479" t="s">
        <v>158</v>
      </c>
      <c r="F12" s="493"/>
      <c r="G12" s="493"/>
      <c r="H12" s="493"/>
      <c r="I12" s="493"/>
      <c r="J12" s="466" t="s">
        <v>160</v>
      </c>
      <c r="K12" s="467"/>
    </row>
    <row r="13" spans="1:11" ht="15">
      <c r="A13" s="515" t="s">
        <v>162</v>
      </c>
      <c r="B13" s="368"/>
      <c r="C13" s="497" t="s">
        <v>31</v>
      </c>
      <c r="D13" s="498"/>
      <c r="E13" s="479" t="s">
        <v>32</v>
      </c>
      <c r="F13" s="493"/>
      <c r="G13" s="494"/>
      <c r="H13" s="479" t="s">
        <v>45</v>
      </c>
      <c r="I13" s="494"/>
      <c r="J13" s="493" t="s">
        <v>45</v>
      </c>
      <c r="K13" s="494"/>
    </row>
    <row r="14" spans="1:11" ht="15">
      <c r="A14" s="515"/>
      <c r="B14" s="368"/>
      <c r="C14" s="499"/>
      <c r="D14" s="500"/>
      <c r="E14" s="454" t="s">
        <v>2</v>
      </c>
      <c r="F14" s="274" t="s">
        <v>193</v>
      </c>
      <c r="G14" s="274" t="s">
        <v>2</v>
      </c>
      <c r="H14" s="274" t="s">
        <v>2</v>
      </c>
      <c r="I14" s="274" t="s">
        <v>2</v>
      </c>
      <c r="J14" s="274" t="s">
        <v>2</v>
      </c>
      <c r="K14" s="274" t="s">
        <v>2</v>
      </c>
    </row>
    <row r="15" spans="1:11" ht="15">
      <c r="A15" s="275"/>
      <c r="B15" s="256"/>
      <c r="C15" s="499"/>
      <c r="D15" s="500"/>
      <c r="E15" s="273">
        <v>2015</v>
      </c>
      <c r="F15" s="273">
        <v>2014</v>
      </c>
      <c r="G15" s="273">
        <v>2014</v>
      </c>
      <c r="H15" s="273">
        <v>2015</v>
      </c>
      <c r="I15" s="273">
        <v>2014</v>
      </c>
      <c r="J15" s="273">
        <v>2015</v>
      </c>
      <c r="K15" s="273">
        <v>2014</v>
      </c>
    </row>
    <row r="16" spans="1:11" ht="35.25" customHeight="1">
      <c r="A16" s="276"/>
      <c r="B16" s="373"/>
      <c r="C16" s="470"/>
      <c r="D16" s="471"/>
      <c r="E16" s="457" t="s">
        <v>327</v>
      </c>
      <c r="F16" s="214" t="s">
        <v>76</v>
      </c>
      <c r="G16" s="457" t="s">
        <v>327</v>
      </c>
      <c r="H16" s="214" t="s">
        <v>33</v>
      </c>
      <c r="I16" s="214" t="s">
        <v>33</v>
      </c>
      <c r="J16" s="214" t="s">
        <v>33</v>
      </c>
      <c r="K16" s="214" t="s">
        <v>33</v>
      </c>
    </row>
    <row r="17" spans="1:11" ht="21.75" customHeight="1">
      <c r="A17" s="236">
        <v>1</v>
      </c>
      <c r="B17" s="374"/>
      <c r="C17" s="505" t="s">
        <v>13</v>
      </c>
      <c r="D17" s="506"/>
      <c r="E17" s="214" t="s">
        <v>12</v>
      </c>
      <c r="F17" s="277" t="s">
        <v>12</v>
      </c>
      <c r="G17" s="214" t="s">
        <v>12</v>
      </c>
      <c r="H17" s="277"/>
      <c r="I17" s="277"/>
      <c r="J17" s="277"/>
      <c r="K17" s="277"/>
    </row>
    <row r="18" spans="1:11" ht="30" customHeight="1">
      <c r="A18" s="230" t="s">
        <v>12</v>
      </c>
      <c r="B18" s="375"/>
      <c r="C18" s="489" t="s">
        <v>289</v>
      </c>
      <c r="D18" s="490"/>
      <c r="E18" s="118">
        <v>3609.29</v>
      </c>
      <c r="F18" s="118">
        <v>3463.52</v>
      </c>
      <c r="G18" s="118">
        <v>3459.81</v>
      </c>
      <c r="H18" s="118">
        <v>12579.64</v>
      </c>
      <c r="I18" s="199">
        <v>12503.77</v>
      </c>
      <c r="J18" s="199">
        <v>15447.3</v>
      </c>
      <c r="K18" s="199">
        <v>14931.46</v>
      </c>
    </row>
    <row r="19" spans="1:11" ht="19.5" customHeight="1">
      <c r="A19" s="230" t="s">
        <v>12</v>
      </c>
      <c r="B19" s="375"/>
      <c r="C19" s="489" t="s">
        <v>64</v>
      </c>
      <c r="D19" s="490"/>
      <c r="E19" s="118">
        <v>200.44</v>
      </c>
      <c r="F19" s="118">
        <v>202.63</v>
      </c>
      <c r="G19" s="118">
        <v>216.13</v>
      </c>
      <c r="H19" s="118">
        <v>751.65</v>
      </c>
      <c r="I19" s="199">
        <v>901.99</v>
      </c>
      <c r="J19" s="199">
        <v>916.86</v>
      </c>
      <c r="K19" s="199">
        <v>1095.05</v>
      </c>
    </row>
    <row r="20" spans="1:11" ht="19.5" customHeight="1">
      <c r="A20" s="231"/>
      <c r="B20" s="233"/>
      <c r="C20" s="505" t="s">
        <v>72</v>
      </c>
      <c r="D20" s="506"/>
      <c r="E20" s="124">
        <v>3809.73</v>
      </c>
      <c r="F20" s="124">
        <v>3666.15</v>
      </c>
      <c r="G20" s="124">
        <v>3675.94</v>
      </c>
      <c r="H20" s="124">
        <v>13331.29</v>
      </c>
      <c r="I20" s="207">
        <v>13405.76</v>
      </c>
      <c r="J20" s="207">
        <v>16364.16</v>
      </c>
      <c r="K20" s="124">
        <v>16026.51</v>
      </c>
    </row>
    <row r="21" spans="1:11" ht="19.5" customHeight="1">
      <c r="A21" s="231">
        <v>2</v>
      </c>
      <c r="B21" s="233"/>
      <c r="C21" s="505" t="s">
        <v>218</v>
      </c>
      <c r="D21" s="506"/>
      <c r="E21" s="124" t="s">
        <v>12</v>
      </c>
      <c r="F21" s="124" t="s">
        <v>12</v>
      </c>
      <c r="G21" s="207"/>
      <c r="H21" s="207"/>
      <c r="I21" s="207"/>
      <c r="J21" s="207"/>
      <c r="K21" s="124"/>
    </row>
    <row r="22" spans="1:11" ht="19.5" customHeight="1">
      <c r="A22" s="230"/>
      <c r="B22" s="375"/>
      <c r="C22" s="489" t="s">
        <v>219</v>
      </c>
      <c r="D22" s="490"/>
      <c r="E22" s="118">
        <v>279.37</v>
      </c>
      <c r="F22" s="118">
        <v>356.3</v>
      </c>
      <c r="G22" s="118">
        <v>349.49</v>
      </c>
      <c r="H22" s="118">
        <v>1263.95</v>
      </c>
      <c r="I22" s="118">
        <v>1371.68</v>
      </c>
      <c r="J22" s="199">
        <v>1733.28</v>
      </c>
      <c r="K22" s="199">
        <v>1873.39</v>
      </c>
    </row>
    <row r="23" spans="1:11" ht="19.5" customHeight="1">
      <c r="A23" s="230"/>
      <c r="B23" s="375"/>
      <c r="C23" s="489" t="s">
        <v>253</v>
      </c>
      <c r="D23" s="490"/>
      <c r="E23" s="118">
        <v>861.38</v>
      </c>
      <c r="F23" s="118">
        <v>750.27</v>
      </c>
      <c r="G23" s="118">
        <v>751.83</v>
      </c>
      <c r="H23" s="118">
        <v>3220.44</v>
      </c>
      <c r="I23" s="118">
        <v>3269.46</v>
      </c>
      <c r="J23" s="199">
        <v>3850.38</v>
      </c>
      <c r="K23" s="199">
        <v>3882.75</v>
      </c>
    </row>
    <row r="24" spans="1:11" ht="19.5" customHeight="1">
      <c r="A24" s="230"/>
      <c r="B24" s="375"/>
      <c r="C24" s="489" t="s">
        <v>36</v>
      </c>
      <c r="D24" s="490"/>
      <c r="E24" s="118">
        <v>346.61</v>
      </c>
      <c r="F24" s="118">
        <v>385.61</v>
      </c>
      <c r="G24" s="118">
        <v>383.61</v>
      </c>
      <c r="H24" s="118">
        <v>1557.6</v>
      </c>
      <c r="I24" s="118">
        <v>1523.25</v>
      </c>
      <c r="J24" s="199">
        <v>2080</v>
      </c>
      <c r="K24" s="199">
        <v>2050.67</v>
      </c>
    </row>
    <row r="25" spans="1:11" ht="33.75" customHeight="1">
      <c r="A25" s="230"/>
      <c r="B25" s="375"/>
      <c r="C25" s="489" t="s">
        <v>321</v>
      </c>
      <c r="D25" s="490"/>
      <c r="E25" s="118">
        <v>434.65</v>
      </c>
      <c r="F25" s="118">
        <v>448.13</v>
      </c>
      <c r="G25" s="118">
        <v>351.02</v>
      </c>
      <c r="H25" s="118">
        <v>1837.84</v>
      </c>
      <c r="I25" s="118">
        <v>1438.52</v>
      </c>
      <c r="J25" s="199">
        <v>3084.31</v>
      </c>
      <c r="K25" s="199">
        <v>2496.2</v>
      </c>
    </row>
    <row r="26" spans="1:11" ht="19.5" customHeight="1">
      <c r="A26" s="232"/>
      <c r="B26" s="376"/>
      <c r="C26" s="489" t="s">
        <v>249</v>
      </c>
      <c r="D26" s="490"/>
      <c r="E26" s="118">
        <v>1453.08</v>
      </c>
      <c r="F26" s="118">
        <v>1520.43</v>
      </c>
      <c r="G26" s="118">
        <v>801.27</v>
      </c>
      <c r="H26" s="118">
        <v>4572.16</v>
      </c>
      <c r="I26" s="118">
        <v>3346.32</v>
      </c>
      <c r="J26" s="199">
        <v>5443.01</v>
      </c>
      <c r="K26" s="199">
        <v>4125.27</v>
      </c>
    </row>
    <row r="27" spans="1:11" ht="19.5" customHeight="1">
      <c r="A27" s="230"/>
      <c r="B27" s="375"/>
      <c r="C27" s="505" t="s">
        <v>220</v>
      </c>
      <c r="D27" s="506"/>
      <c r="E27" s="124">
        <v>3375.09</v>
      </c>
      <c r="F27" s="124">
        <v>3460.74</v>
      </c>
      <c r="G27" s="124">
        <v>2637.22</v>
      </c>
      <c r="H27" s="124">
        <v>12451.99</v>
      </c>
      <c r="I27" s="124">
        <v>10949.23</v>
      </c>
      <c r="J27" s="124">
        <v>16190.98</v>
      </c>
      <c r="K27" s="124">
        <v>14428.28</v>
      </c>
    </row>
    <row r="28" spans="1:11" ht="47.25" customHeight="1">
      <c r="A28" s="231">
        <v>3</v>
      </c>
      <c r="B28" s="233"/>
      <c r="C28" s="501" t="s">
        <v>221</v>
      </c>
      <c r="D28" s="502"/>
      <c r="E28" s="124">
        <v>434.64000000000124</v>
      </c>
      <c r="F28" s="124">
        <v>205.41</v>
      </c>
      <c r="G28" s="124">
        <v>1038.72</v>
      </c>
      <c r="H28" s="124">
        <v>879.3000000000011</v>
      </c>
      <c r="I28" s="207">
        <v>2456.53</v>
      </c>
      <c r="J28" s="124">
        <v>173.1800000000021</v>
      </c>
      <c r="K28" s="124">
        <v>1598.23</v>
      </c>
    </row>
    <row r="29" spans="1:11" ht="20.25" customHeight="1">
      <c r="A29" s="231">
        <v>4</v>
      </c>
      <c r="B29" s="233"/>
      <c r="C29" s="489" t="s">
        <v>326</v>
      </c>
      <c r="D29" s="490"/>
      <c r="E29" s="118">
        <v>137.02</v>
      </c>
      <c r="F29" s="118">
        <v>44.8</v>
      </c>
      <c r="G29" s="118">
        <v>175.28</v>
      </c>
      <c r="H29" s="118">
        <v>599.34</v>
      </c>
      <c r="I29" s="118">
        <v>2273.3</v>
      </c>
      <c r="J29" s="197">
        <v>528.88</v>
      </c>
      <c r="K29" s="118">
        <v>453.46</v>
      </c>
    </row>
    <row r="30" spans="1:11" ht="33" customHeight="1">
      <c r="A30" s="231">
        <v>5</v>
      </c>
      <c r="B30" s="233"/>
      <c r="C30" s="501" t="s">
        <v>222</v>
      </c>
      <c r="D30" s="502"/>
      <c r="E30" s="124">
        <v>571.6600000000012</v>
      </c>
      <c r="F30" s="124">
        <v>250.21</v>
      </c>
      <c r="G30" s="124">
        <v>1214</v>
      </c>
      <c r="H30" s="124">
        <v>1478.64</v>
      </c>
      <c r="I30" s="207">
        <v>4729.83</v>
      </c>
      <c r="J30" s="124">
        <v>702.0600000000021</v>
      </c>
      <c r="K30" s="124">
        <v>2051.69</v>
      </c>
    </row>
    <row r="31" spans="1:11" ht="19.5" customHeight="1">
      <c r="A31" s="231">
        <v>6</v>
      </c>
      <c r="B31" s="233"/>
      <c r="C31" s="489" t="s">
        <v>317</v>
      </c>
      <c r="D31" s="490"/>
      <c r="E31" s="118">
        <v>693.47</v>
      </c>
      <c r="F31" s="118">
        <v>778.83</v>
      </c>
      <c r="G31" s="118">
        <v>1402.92</v>
      </c>
      <c r="H31" s="118">
        <v>7948.21</v>
      </c>
      <c r="I31" s="118">
        <v>5735.27</v>
      </c>
      <c r="J31" s="198">
        <v>8054.84</v>
      </c>
      <c r="K31" s="118">
        <v>7248.43</v>
      </c>
    </row>
    <row r="32" spans="1:11" ht="47.25" customHeight="1">
      <c r="A32" s="231">
        <v>7</v>
      </c>
      <c r="B32" s="233"/>
      <c r="C32" s="501" t="s">
        <v>223</v>
      </c>
      <c r="D32" s="502"/>
      <c r="E32" s="124">
        <v>-121.80999999999904</v>
      </c>
      <c r="F32" s="124">
        <v>-528.62</v>
      </c>
      <c r="G32" s="124">
        <v>-188.92</v>
      </c>
      <c r="H32" s="124">
        <v>-6469.57</v>
      </c>
      <c r="I32" s="124">
        <v>-1005.44</v>
      </c>
      <c r="J32" s="124">
        <v>-7352.78</v>
      </c>
      <c r="K32" s="124">
        <v>-5196.74</v>
      </c>
    </row>
    <row r="33" spans="1:11" ht="32.25" customHeight="1">
      <c r="A33" s="233">
        <v>8</v>
      </c>
      <c r="B33" s="233"/>
      <c r="C33" s="489" t="s">
        <v>325</v>
      </c>
      <c r="D33" s="490"/>
      <c r="E33" s="118">
        <v>0</v>
      </c>
      <c r="F33" s="118">
        <v>0</v>
      </c>
      <c r="G33" s="118">
        <v>300.1899999999987</v>
      </c>
      <c r="H33" s="118">
        <v>0</v>
      </c>
      <c r="I33" s="118">
        <v>-23805.16</v>
      </c>
      <c r="J33" s="118">
        <v>0</v>
      </c>
      <c r="K33" s="118">
        <v>39.4</v>
      </c>
    </row>
    <row r="34" spans="1:11" ht="32.25" customHeight="1">
      <c r="A34" s="234"/>
      <c r="B34" s="234"/>
      <c r="C34" s="489" t="s">
        <v>252</v>
      </c>
      <c r="D34" s="490"/>
      <c r="E34" s="118">
        <v>0</v>
      </c>
      <c r="F34" s="118">
        <v>0</v>
      </c>
      <c r="G34" s="118"/>
      <c r="H34" s="118"/>
      <c r="I34" s="118">
        <v>0</v>
      </c>
      <c r="J34" s="118">
        <v>0</v>
      </c>
      <c r="K34" s="118">
        <v>0</v>
      </c>
    </row>
    <row r="35" spans="1:11" ht="33.75" customHeight="1">
      <c r="A35" s="234">
        <v>9</v>
      </c>
      <c r="B35" s="234"/>
      <c r="C35" s="491" t="s">
        <v>250</v>
      </c>
      <c r="D35" s="492"/>
      <c r="E35" s="235">
        <v>-121.80999999999904</v>
      </c>
      <c r="F35" s="235">
        <v>-528.62</v>
      </c>
      <c r="G35" s="235">
        <v>111.26999999999839</v>
      </c>
      <c r="H35" s="235">
        <v>-6469.57</v>
      </c>
      <c r="I35" s="235">
        <v>-24810.6</v>
      </c>
      <c r="J35" s="235">
        <v>-7352.78</v>
      </c>
      <c r="K35" s="235">
        <v>-5157.34</v>
      </c>
    </row>
    <row r="36" spans="1:11" ht="28.5" customHeight="1">
      <c r="A36" s="231">
        <v>10</v>
      </c>
      <c r="B36" s="233"/>
      <c r="C36" s="489" t="s">
        <v>322</v>
      </c>
      <c r="D36" s="472"/>
      <c r="E36" s="118">
        <v>-1376.63</v>
      </c>
      <c r="F36" s="197">
        <v>-60.37000000000012</v>
      </c>
      <c r="G36" s="197">
        <v>-45.77000000000008</v>
      </c>
      <c r="H36" s="197">
        <v>553.88</v>
      </c>
      <c r="I36" s="197">
        <v>1549.91</v>
      </c>
      <c r="J36" s="197">
        <v>828.46</v>
      </c>
      <c r="K36" s="118">
        <v>929</v>
      </c>
    </row>
    <row r="37" spans="1:11" ht="30.75" customHeight="1">
      <c r="A37" s="231">
        <v>11</v>
      </c>
      <c r="B37" s="233"/>
      <c r="C37" s="501" t="s">
        <v>184</v>
      </c>
      <c r="D37" s="502"/>
      <c r="E37" s="124">
        <v>-1498.44</v>
      </c>
      <c r="F37" s="124">
        <v>-588.99</v>
      </c>
      <c r="G37" s="124">
        <v>65.49999999999831</v>
      </c>
      <c r="H37" s="124">
        <v>-5915.69</v>
      </c>
      <c r="I37" s="207">
        <v>-23260.69</v>
      </c>
      <c r="J37" s="124">
        <v>-6524.32</v>
      </c>
      <c r="K37" s="124">
        <v>-4228.34</v>
      </c>
    </row>
    <row r="38" spans="1:11" ht="30.75" customHeight="1">
      <c r="A38" s="231">
        <v>12</v>
      </c>
      <c r="B38" s="233"/>
      <c r="C38" s="489" t="s">
        <v>92</v>
      </c>
      <c r="D38" s="490"/>
      <c r="E38" s="118">
        <v>0</v>
      </c>
      <c r="F38" s="197">
        <v>0</v>
      </c>
      <c r="G38" s="197">
        <v>0</v>
      </c>
      <c r="H38" s="197"/>
      <c r="I38" s="207">
        <v>0</v>
      </c>
      <c r="J38" s="207">
        <v>0</v>
      </c>
      <c r="K38" s="124">
        <v>0</v>
      </c>
    </row>
    <row r="39" spans="1:11" ht="30.75" customHeight="1">
      <c r="A39" s="231">
        <v>13</v>
      </c>
      <c r="B39" s="233"/>
      <c r="C39" s="491" t="s">
        <v>185</v>
      </c>
      <c r="D39" s="492"/>
      <c r="E39" s="124">
        <v>-1498.44</v>
      </c>
      <c r="F39" s="124">
        <v>-588.99</v>
      </c>
      <c r="G39" s="124">
        <v>65.49999999999831</v>
      </c>
      <c r="H39" s="124">
        <v>-5915.69</v>
      </c>
      <c r="I39" s="207">
        <v>-23260.69</v>
      </c>
      <c r="J39" s="124">
        <v>-6524.32</v>
      </c>
      <c r="K39" s="124">
        <v>-4228.34</v>
      </c>
    </row>
    <row r="40" spans="1:11" ht="25.5" customHeight="1">
      <c r="A40" s="231">
        <v>14</v>
      </c>
      <c r="B40" s="377"/>
      <c r="C40" s="495" t="s">
        <v>141</v>
      </c>
      <c r="D40" s="496"/>
      <c r="E40" s="271"/>
      <c r="F40" s="271"/>
      <c r="G40" s="271"/>
      <c r="H40" s="271"/>
      <c r="I40" s="271"/>
      <c r="J40" s="228">
        <v>0</v>
      </c>
      <c r="K40" s="384">
        <v>0</v>
      </c>
    </row>
    <row r="41" spans="1:11" ht="33" customHeight="1">
      <c r="A41" s="231">
        <v>15</v>
      </c>
      <c r="B41" s="377"/>
      <c r="C41" s="495" t="s">
        <v>251</v>
      </c>
      <c r="D41" s="496"/>
      <c r="E41" s="271"/>
      <c r="F41" s="271"/>
      <c r="G41" s="271"/>
      <c r="H41" s="271"/>
      <c r="I41" s="271"/>
      <c r="J41" s="385">
        <v>-6524.32</v>
      </c>
      <c r="K41" s="370">
        <v>-4228.34</v>
      </c>
    </row>
    <row r="42" spans="1:11" ht="39.75" customHeight="1">
      <c r="A42" s="231">
        <v>16</v>
      </c>
      <c r="B42" s="233"/>
      <c r="C42" s="489" t="s">
        <v>66</v>
      </c>
      <c r="D42" s="490"/>
      <c r="E42" s="118">
        <v>2417.26</v>
      </c>
      <c r="F42" s="118">
        <v>2417.26</v>
      </c>
      <c r="G42" s="118">
        <v>2417.26</v>
      </c>
      <c r="H42" s="118">
        <v>2417.26</v>
      </c>
      <c r="I42" s="118">
        <v>2417.26</v>
      </c>
      <c r="J42" s="118">
        <v>2417.26</v>
      </c>
      <c r="K42" s="118">
        <v>2417.26</v>
      </c>
    </row>
    <row r="43" spans="1:11" ht="51.75" customHeight="1">
      <c r="A43" s="231">
        <v>17</v>
      </c>
      <c r="B43" s="233"/>
      <c r="C43" s="511" t="s">
        <v>67</v>
      </c>
      <c r="D43" s="512"/>
      <c r="E43" s="134" t="s">
        <v>12</v>
      </c>
      <c r="F43" s="134"/>
      <c r="G43" s="134"/>
      <c r="H43" s="134">
        <v>-5056.75</v>
      </c>
      <c r="I43" s="134">
        <v>1418.95</v>
      </c>
      <c r="J43" s="134">
        <v>3178.36</v>
      </c>
      <c r="K43" s="134">
        <v>10272.78</v>
      </c>
    </row>
    <row r="44" spans="1:11" ht="27" customHeight="1">
      <c r="A44" s="231">
        <v>18</v>
      </c>
      <c r="B44" s="233"/>
      <c r="C44" s="491" t="s">
        <v>73</v>
      </c>
      <c r="D44" s="492"/>
      <c r="E44" s="134"/>
      <c r="F44" s="134"/>
      <c r="G44" s="134"/>
      <c r="H44" s="134"/>
      <c r="I44" s="134"/>
      <c r="J44" s="134"/>
      <c r="K44" s="134"/>
    </row>
    <row r="45" spans="1:11" ht="21.75" customHeight="1">
      <c r="A45" s="231"/>
      <c r="B45" s="233"/>
      <c r="C45" s="511" t="s">
        <v>46</v>
      </c>
      <c r="D45" s="512"/>
      <c r="E45" s="134" t="s">
        <v>12</v>
      </c>
      <c r="F45" s="134"/>
      <c r="G45" s="134"/>
      <c r="H45" s="134"/>
      <c r="I45" s="134" t="s">
        <v>12</v>
      </c>
      <c r="J45" s="134"/>
      <c r="K45" s="134"/>
    </row>
    <row r="46" spans="1:11" ht="22.5" customHeight="1">
      <c r="A46" s="230" t="s">
        <v>225</v>
      </c>
      <c r="B46" s="375"/>
      <c r="C46" s="489" t="s">
        <v>224</v>
      </c>
      <c r="D46" s="490"/>
      <c r="E46" s="134"/>
      <c r="F46" s="134"/>
      <c r="G46" s="134"/>
      <c r="H46" s="134"/>
      <c r="I46" s="134"/>
      <c r="J46" s="134"/>
      <c r="K46" s="134"/>
    </row>
    <row r="47" spans="1:11" ht="22.5" customHeight="1">
      <c r="A47" s="231"/>
      <c r="B47" s="233"/>
      <c r="C47" s="489" t="s">
        <v>51</v>
      </c>
      <c r="D47" s="490"/>
      <c r="E47" s="134">
        <v>-6.353613953968392</v>
      </c>
      <c r="F47" s="134">
        <v>-2.4974073588184083</v>
      </c>
      <c r="G47" s="134">
        <v>0.28607626519140666</v>
      </c>
      <c r="H47" s="134">
        <v>-25.083427118437374</v>
      </c>
      <c r="I47" s="134">
        <v>-111.67</v>
      </c>
      <c r="J47" s="134">
        <v>-27.664111070283145</v>
      </c>
      <c r="K47" s="134">
        <v>-20.298750618677598</v>
      </c>
    </row>
    <row r="48" spans="1:11" ht="25.5" customHeight="1">
      <c r="A48" s="231"/>
      <c r="B48" s="233"/>
      <c r="C48" s="489" t="s">
        <v>52</v>
      </c>
      <c r="D48" s="490"/>
      <c r="E48" s="134">
        <v>-6.353613953968392</v>
      </c>
      <c r="F48" s="134">
        <v>-2.4974073588184083</v>
      </c>
      <c r="G48" s="134">
        <v>0.27612552764477677</v>
      </c>
      <c r="H48" s="134">
        <v>-25.083427118437374</v>
      </c>
      <c r="I48" s="134">
        <v>-111.67</v>
      </c>
      <c r="J48" s="134">
        <v>-27.664111070283145</v>
      </c>
      <c r="K48" s="134">
        <v>-20.298750618677598</v>
      </c>
    </row>
    <row r="49" spans="1:11" ht="24.75" customHeight="1">
      <c r="A49" s="230" t="s">
        <v>226</v>
      </c>
      <c r="B49" s="375"/>
      <c r="C49" s="489" t="s">
        <v>227</v>
      </c>
      <c r="D49" s="490"/>
      <c r="E49" s="134"/>
      <c r="F49" s="134"/>
      <c r="G49" s="134"/>
      <c r="H49" s="134"/>
      <c r="I49" s="134"/>
      <c r="J49" s="134"/>
      <c r="K49" s="134"/>
    </row>
    <row r="50" spans="1:11" ht="22.5" customHeight="1">
      <c r="A50" s="231"/>
      <c r="B50" s="233"/>
      <c r="C50" s="489" t="s">
        <v>51</v>
      </c>
      <c r="D50" s="490"/>
      <c r="E50" s="134">
        <v>-6.353613953968392</v>
      </c>
      <c r="F50" s="134">
        <v>-2.4974073588184083</v>
      </c>
      <c r="G50" s="134">
        <v>0.28607626519140666</v>
      </c>
      <c r="H50" s="134">
        <v>-25.083427118437374</v>
      </c>
      <c r="I50" s="134">
        <v>-111.67</v>
      </c>
      <c r="J50" s="134">
        <v>-27.664111070283145</v>
      </c>
      <c r="K50" s="134">
        <v>-20.298750618677598</v>
      </c>
    </row>
    <row r="51" spans="1:11" ht="25.5" customHeight="1">
      <c r="A51" s="231"/>
      <c r="B51" s="233"/>
      <c r="C51" s="489" t="s">
        <v>52</v>
      </c>
      <c r="D51" s="490"/>
      <c r="E51" s="134">
        <v>-6.353613953968392</v>
      </c>
      <c r="F51" s="134">
        <v>-2.4974073588184083</v>
      </c>
      <c r="G51" s="134">
        <v>0.27612552764477677</v>
      </c>
      <c r="H51" s="134">
        <v>-25.083427118437374</v>
      </c>
      <c r="I51" s="134">
        <v>-111.67</v>
      </c>
      <c r="J51" s="134">
        <v>-27.664111070283145</v>
      </c>
      <c r="K51" s="134">
        <v>-20.298750618677598</v>
      </c>
    </row>
    <row r="52" spans="1:11" ht="25.5" customHeight="1">
      <c r="A52" s="256" t="s">
        <v>228</v>
      </c>
      <c r="B52" s="256"/>
      <c r="C52" s="489"/>
      <c r="D52" s="490"/>
      <c r="E52" s="134"/>
      <c r="F52" s="134"/>
      <c r="G52" s="134"/>
      <c r="H52" s="134"/>
      <c r="I52" s="134"/>
      <c r="J52" s="134"/>
      <c r="K52" s="134"/>
    </row>
    <row r="53" spans="1:11" ht="25.5" customHeight="1">
      <c r="A53" s="257" t="s">
        <v>229</v>
      </c>
      <c r="B53" s="378"/>
      <c r="C53" s="505" t="s">
        <v>230</v>
      </c>
      <c r="D53" s="506"/>
      <c r="E53" s="134"/>
      <c r="F53" s="134"/>
      <c r="G53" s="134"/>
      <c r="H53" s="134"/>
      <c r="I53" s="134"/>
      <c r="J53" s="134"/>
      <c r="K53" s="134"/>
    </row>
    <row r="54" spans="1:11" ht="47.25" customHeight="1">
      <c r="A54" s="270" t="s">
        <v>12</v>
      </c>
      <c r="B54" s="371"/>
      <c r="C54" s="489" t="s">
        <v>74</v>
      </c>
      <c r="D54" s="490"/>
      <c r="E54" s="135" t="s">
        <v>294</v>
      </c>
      <c r="F54" s="135" t="s">
        <v>294</v>
      </c>
      <c r="G54" s="135" t="s">
        <v>294</v>
      </c>
      <c r="H54" s="135" t="s">
        <v>294</v>
      </c>
      <c r="I54" s="135" t="s">
        <v>294</v>
      </c>
      <c r="J54" s="135" t="s">
        <v>294</v>
      </c>
      <c r="K54" s="369" t="s">
        <v>294</v>
      </c>
    </row>
    <row r="55" spans="1:11" ht="26.25" customHeight="1">
      <c r="A55" s="473" t="s">
        <v>12</v>
      </c>
      <c r="B55" s="379"/>
      <c r="C55" s="509" t="s">
        <v>98</v>
      </c>
      <c r="D55" s="510"/>
      <c r="E55" s="229"/>
      <c r="F55" s="229"/>
      <c r="G55" s="229"/>
      <c r="H55" s="229"/>
      <c r="I55" s="229"/>
      <c r="J55" s="229"/>
      <c r="K55" s="137"/>
    </row>
    <row r="56" spans="1:11" ht="30" customHeight="1">
      <c r="A56" s="474"/>
      <c r="B56" s="380"/>
      <c r="C56" s="507" t="s">
        <v>99</v>
      </c>
      <c r="D56" s="508"/>
      <c r="E56" s="366" t="s">
        <v>291</v>
      </c>
      <c r="F56" s="366" t="s">
        <v>291</v>
      </c>
      <c r="G56" s="366" t="s">
        <v>291</v>
      </c>
      <c r="H56" s="366" t="s">
        <v>291</v>
      </c>
      <c r="I56" s="365" t="s">
        <v>291</v>
      </c>
      <c r="J56" s="366" t="s">
        <v>291</v>
      </c>
      <c r="K56" s="106" t="s">
        <v>291</v>
      </c>
    </row>
    <row r="57" spans="1:11" ht="38.25" customHeight="1">
      <c r="A57" s="474"/>
      <c r="B57" s="380"/>
      <c r="C57" s="503" t="s">
        <v>100</v>
      </c>
      <c r="D57" s="504"/>
      <c r="E57" s="108">
        <v>0.6873</v>
      </c>
      <c r="F57" s="108">
        <v>0.6873</v>
      </c>
      <c r="G57" s="108">
        <v>0.6873</v>
      </c>
      <c r="H57" s="108">
        <v>0.6873</v>
      </c>
      <c r="I57" s="390">
        <v>0.6873</v>
      </c>
      <c r="J57" s="289">
        <v>0.6873</v>
      </c>
      <c r="K57" s="455">
        <v>0.6873</v>
      </c>
    </row>
    <row r="58" spans="1:11" ht="35.25" customHeight="1">
      <c r="A58" s="474"/>
      <c r="B58" s="380"/>
      <c r="C58" s="503" t="s">
        <v>101</v>
      </c>
      <c r="D58" s="504"/>
      <c r="E58" s="108">
        <v>0.4186</v>
      </c>
      <c r="F58" s="108">
        <v>0.4186</v>
      </c>
      <c r="G58" s="108">
        <v>0.4186</v>
      </c>
      <c r="H58" s="108">
        <v>0.4186</v>
      </c>
      <c r="I58" s="390">
        <v>0.4186</v>
      </c>
      <c r="J58" s="289">
        <v>0.4186</v>
      </c>
      <c r="K58" s="455">
        <v>0.4186</v>
      </c>
    </row>
    <row r="59" spans="1:11" ht="26.25" customHeight="1">
      <c r="A59" s="475"/>
      <c r="B59" s="381"/>
      <c r="C59" s="507" t="s">
        <v>102</v>
      </c>
      <c r="D59" s="508"/>
      <c r="E59" s="107"/>
      <c r="F59" s="107"/>
      <c r="G59" s="107"/>
      <c r="H59" s="107"/>
      <c r="I59" s="108"/>
      <c r="J59" s="108"/>
      <c r="K59" s="108"/>
    </row>
    <row r="60" spans="1:11" ht="27" customHeight="1">
      <c r="A60" s="475"/>
      <c r="B60" s="381"/>
      <c r="C60" s="507" t="s">
        <v>103</v>
      </c>
      <c r="D60" s="508"/>
      <c r="E60" s="365" t="s">
        <v>293</v>
      </c>
      <c r="F60" s="365" t="s">
        <v>293</v>
      </c>
      <c r="G60" s="365" t="s">
        <v>293</v>
      </c>
      <c r="H60" s="365" t="s">
        <v>293</v>
      </c>
      <c r="I60" s="365" t="s">
        <v>293</v>
      </c>
      <c r="J60" s="365" t="s">
        <v>293</v>
      </c>
      <c r="K60" s="365" t="s">
        <v>293</v>
      </c>
    </row>
    <row r="61" spans="1:11" ht="36" customHeight="1">
      <c r="A61" s="475"/>
      <c r="B61" s="381"/>
      <c r="C61" s="503" t="s">
        <v>104</v>
      </c>
      <c r="D61" s="504"/>
      <c r="E61" s="108">
        <v>0.3127</v>
      </c>
      <c r="F61" s="108">
        <v>0.3127</v>
      </c>
      <c r="G61" s="108">
        <v>0.3127</v>
      </c>
      <c r="H61" s="108">
        <v>0.3127</v>
      </c>
      <c r="I61" s="108">
        <v>0.3127</v>
      </c>
      <c r="J61" s="108">
        <v>0.3127</v>
      </c>
      <c r="K61" s="108">
        <v>0.3127</v>
      </c>
    </row>
    <row r="62" spans="1:11" ht="39.75" customHeight="1">
      <c r="A62" s="476"/>
      <c r="B62" s="382"/>
      <c r="C62" s="483" t="s">
        <v>101</v>
      </c>
      <c r="D62" s="469"/>
      <c r="E62" s="109">
        <v>0.1904</v>
      </c>
      <c r="F62" s="109">
        <v>0.1904</v>
      </c>
      <c r="G62" s="109">
        <v>0.1904</v>
      </c>
      <c r="H62" s="109">
        <v>0.1904</v>
      </c>
      <c r="I62" s="109">
        <v>0.1904</v>
      </c>
      <c r="J62" s="109">
        <v>0.1904</v>
      </c>
      <c r="K62" s="109">
        <v>0.1904</v>
      </c>
    </row>
    <row r="63" spans="1:11" ht="57" customHeight="1">
      <c r="A63" s="278" t="s">
        <v>231</v>
      </c>
      <c r="B63" s="278"/>
      <c r="C63" s="477" t="s">
        <v>232</v>
      </c>
      <c r="D63" s="478"/>
      <c r="E63" s="279"/>
      <c r="F63" s="279"/>
      <c r="G63" s="279"/>
      <c r="H63" s="279"/>
      <c r="I63" s="279"/>
      <c r="J63" s="279"/>
      <c r="K63" s="331" t="s">
        <v>319</v>
      </c>
    </row>
    <row r="64" spans="1:11" ht="24" customHeight="1">
      <c r="A64" s="280"/>
      <c r="B64" s="280"/>
      <c r="C64" s="507" t="s">
        <v>233</v>
      </c>
      <c r="D64" s="482"/>
      <c r="E64" s="383" t="s">
        <v>12</v>
      </c>
      <c r="F64" s="383"/>
      <c r="G64" s="383"/>
      <c r="H64" s="383"/>
      <c r="I64" s="383"/>
      <c r="J64" s="383"/>
      <c r="K64" s="332" t="s">
        <v>239</v>
      </c>
    </row>
    <row r="65" spans="1:11" ht="20.25" customHeight="1">
      <c r="A65" s="280"/>
      <c r="B65" s="280"/>
      <c r="C65" s="507" t="s">
        <v>234</v>
      </c>
      <c r="D65" s="482"/>
      <c r="E65" s="164" t="s">
        <v>12</v>
      </c>
      <c r="F65" s="164"/>
      <c r="G65" s="164"/>
      <c r="H65" s="164"/>
      <c r="I65" s="162"/>
      <c r="J65" s="162"/>
      <c r="K65" s="333" t="s">
        <v>256</v>
      </c>
    </row>
    <row r="66" spans="1:11" ht="22.5" customHeight="1">
      <c r="A66" s="280"/>
      <c r="B66" s="280"/>
      <c r="C66" s="507" t="s">
        <v>235</v>
      </c>
      <c r="D66" s="482"/>
      <c r="E66" s="163" t="s">
        <v>12</v>
      </c>
      <c r="F66" s="163"/>
      <c r="G66" s="163"/>
      <c r="H66" s="163"/>
      <c r="I66" s="163"/>
      <c r="J66" s="163"/>
      <c r="K66" s="333" t="s">
        <v>256</v>
      </c>
    </row>
    <row r="67" spans="1:11" ht="30" customHeight="1">
      <c r="A67" s="281"/>
      <c r="B67" s="281"/>
      <c r="C67" s="480" t="s">
        <v>236</v>
      </c>
      <c r="D67" s="481"/>
      <c r="E67" s="282"/>
      <c r="F67" s="282"/>
      <c r="G67" s="282"/>
      <c r="H67" s="282"/>
      <c r="I67" s="282"/>
      <c r="J67" s="282"/>
      <c r="K67" s="334" t="s">
        <v>239</v>
      </c>
    </row>
    <row r="68" spans="1:11" ht="30" customHeight="1">
      <c r="A68" s="283"/>
      <c r="B68" s="283"/>
      <c r="C68" s="520" t="s">
        <v>257</v>
      </c>
      <c r="D68" s="520"/>
      <c r="E68" s="520"/>
      <c r="F68" s="520"/>
      <c r="G68" s="520"/>
      <c r="H68" s="520"/>
      <c r="I68" s="164"/>
      <c r="J68" s="164"/>
      <c r="K68" s="462"/>
    </row>
    <row r="69" spans="1:11" ht="30" customHeight="1">
      <c r="A69" s="283"/>
      <c r="B69" s="283"/>
      <c r="C69" s="290"/>
      <c r="D69" s="520" t="s">
        <v>158</v>
      </c>
      <c r="E69" s="520"/>
      <c r="F69" s="577" t="s">
        <v>160</v>
      </c>
      <c r="G69" s="577"/>
      <c r="H69" s="290"/>
      <c r="I69" s="164"/>
      <c r="J69" s="164"/>
      <c r="K69" s="462"/>
    </row>
    <row r="70" spans="1:11" ht="30" customHeight="1">
      <c r="A70" s="283"/>
      <c r="B70" s="283"/>
      <c r="C70" s="290"/>
      <c r="D70" s="577" t="s">
        <v>344</v>
      </c>
      <c r="E70" s="577"/>
      <c r="F70" s="578" t="s">
        <v>344</v>
      </c>
      <c r="G70" s="578"/>
      <c r="H70" s="290"/>
      <c r="I70" s="164"/>
      <c r="J70" s="164"/>
      <c r="K70" s="462"/>
    </row>
    <row r="71" spans="1:11" ht="18" customHeight="1">
      <c r="A71" s="283"/>
      <c r="B71" s="283"/>
      <c r="C71" s="290"/>
      <c r="D71" s="580" t="s">
        <v>345</v>
      </c>
      <c r="E71" s="581" t="s">
        <v>346</v>
      </c>
      <c r="F71" s="582" t="s">
        <v>345</v>
      </c>
      <c r="G71" s="582" t="s">
        <v>347</v>
      </c>
      <c r="H71" s="290"/>
      <c r="I71" s="164"/>
      <c r="J71" s="164"/>
      <c r="K71" s="462"/>
    </row>
    <row r="72" spans="1:11" ht="16.5" customHeight="1">
      <c r="A72" s="283"/>
      <c r="B72" s="283"/>
      <c r="C72" s="290"/>
      <c r="D72" s="583" t="s">
        <v>33</v>
      </c>
      <c r="E72" s="579" t="s">
        <v>33</v>
      </c>
      <c r="F72" s="579" t="s">
        <v>33</v>
      </c>
      <c r="G72" s="579" t="s">
        <v>33</v>
      </c>
      <c r="H72" s="290"/>
      <c r="I72" s="164"/>
      <c r="J72" s="164"/>
      <c r="K72" s="462"/>
    </row>
    <row r="73" spans="1:11" ht="30" customHeight="1">
      <c r="A73" s="584" t="s">
        <v>229</v>
      </c>
      <c r="B73" s="283"/>
      <c r="C73" s="585" t="s">
        <v>348</v>
      </c>
      <c r="D73" s="583"/>
      <c r="E73" s="579"/>
      <c r="F73" s="579"/>
      <c r="G73" s="579"/>
      <c r="H73" s="290"/>
      <c r="I73" s="164"/>
      <c r="J73" s="164"/>
      <c r="K73" s="462"/>
    </row>
    <row r="74" spans="1:11" ht="30" customHeight="1">
      <c r="A74" s="300">
        <v>1</v>
      </c>
      <c r="B74" s="301"/>
      <c r="C74" s="301" t="s">
        <v>261</v>
      </c>
      <c r="D74" s="302"/>
      <c r="E74" s="303"/>
      <c r="F74" s="302"/>
      <c r="G74" s="302"/>
      <c r="H74" s="164"/>
      <c r="I74" s="164"/>
      <c r="J74" s="164"/>
      <c r="K74" s="462"/>
    </row>
    <row r="75" spans="1:11" ht="30" customHeight="1">
      <c r="A75" s="304"/>
      <c r="B75" s="305"/>
      <c r="C75" s="305" t="s">
        <v>262</v>
      </c>
      <c r="D75" s="302">
        <v>2417.26</v>
      </c>
      <c r="E75" s="302">
        <v>2417.26</v>
      </c>
      <c r="F75" s="302">
        <v>2417.26</v>
      </c>
      <c r="G75" s="302">
        <v>2417.26</v>
      </c>
      <c r="H75" s="164"/>
      <c r="I75" s="164"/>
      <c r="J75" s="164"/>
      <c r="K75" s="462"/>
    </row>
    <row r="76" spans="1:11" ht="30" customHeight="1">
      <c r="A76" s="304"/>
      <c r="B76" s="305"/>
      <c r="C76" s="305" t="s">
        <v>263</v>
      </c>
      <c r="D76" s="302">
        <v>-5056.75</v>
      </c>
      <c r="E76" s="302">
        <v>1418.95</v>
      </c>
      <c r="F76" s="302">
        <v>3178.36</v>
      </c>
      <c r="G76" s="302">
        <v>10272.78</v>
      </c>
      <c r="H76" s="164"/>
      <c r="I76" s="164"/>
      <c r="J76" s="164"/>
      <c r="K76" s="462"/>
    </row>
    <row r="77" spans="1:11" ht="30" customHeight="1">
      <c r="A77" s="304"/>
      <c r="B77" s="301"/>
      <c r="C77" s="301" t="s">
        <v>264</v>
      </c>
      <c r="D77" s="306">
        <v>-2639.49</v>
      </c>
      <c r="E77" s="306">
        <v>3836.21</v>
      </c>
      <c r="F77" s="306">
        <v>5595.62</v>
      </c>
      <c r="G77" s="306">
        <v>12690.04</v>
      </c>
      <c r="H77" s="164"/>
      <c r="I77" s="164"/>
      <c r="J77" s="164"/>
      <c r="K77" s="462"/>
    </row>
    <row r="78" spans="1:11" ht="30" customHeight="1">
      <c r="A78" s="586">
        <v>2</v>
      </c>
      <c r="B78" s="301"/>
      <c r="C78" s="301" t="s">
        <v>349</v>
      </c>
      <c r="D78" s="306"/>
      <c r="E78" s="306">
        <v>185</v>
      </c>
      <c r="F78" s="306"/>
      <c r="G78" s="310">
        <v>185</v>
      </c>
      <c r="H78" s="164"/>
      <c r="I78" s="164"/>
      <c r="J78" s="164"/>
      <c r="K78" s="462"/>
    </row>
    <row r="79" spans="1:11" ht="30" customHeight="1">
      <c r="A79" s="586">
        <v>3</v>
      </c>
      <c r="B79" s="301"/>
      <c r="C79" s="301" t="s">
        <v>350</v>
      </c>
      <c r="D79" s="306"/>
      <c r="E79" s="306"/>
      <c r="F79" s="306"/>
      <c r="G79" s="310"/>
      <c r="H79" s="164"/>
      <c r="I79" s="164"/>
      <c r="J79" s="164"/>
      <c r="K79" s="462"/>
    </row>
    <row r="80" spans="1:11" ht="30" customHeight="1">
      <c r="A80" s="586"/>
      <c r="B80" s="301"/>
      <c r="C80" s="305" t="s">
        <v>323</v>
      </c>
      <c r="D80" s="302">
        <v>19501.42</v>
      </c>
      <c r="E80" s="302">
        <v>21344.03</v>
      </c>
      <c r="F80" s="302">
        <v>21286.54</v>
      </c>
      <c r="G80" s="302">
        <v>24363.17</v>
      </c>
      <c r="H80" s="164"/>
      <c r="I80" s="164"/>
      <c r="J80" s="164"/>
      <c r="K80" s="462"/>
    </row>
    <row r="81" spans="1:11" ht="30" customHeight="1">
      <c r="A81" s="586"/>
      <c r="B81" s="301"/>
      <c r="C81" s="305" t="s">
        <v>308</v>
      </c>
      <c r="D81" s="302">
        <v>0</v>
      </c>
      <c r="E81" s="302">
        <v>541.19</v>
      </c>
      <c r="F81" s="302">
        <v>0</v>
      </c>
      <c r="G81" s="308">
        <v>0</v>
      </c>
      <c r="H81" s="164"/>
      <c r="I81" s="164"/>
      <c r="J81" s="164"/>
      <c r="K81" s="462"/>
    </row>
    <row r="82" spans="1:11" ht="30" customHeight="1">
      <c r="A82" s="283"/>
      <c r="B82" s="305"/>
      <c r="C82" s="305" t="s">
        <v>0</v>
      </c>
      <c r="D82" s="302">
        <v>2877.33</v>
      </c>
      <c r="E82" s="302">
        <v>2679.59</v>
      </c>
      <c r="F82" s="302">
        <v>2870.51</v>
      </c>
      <c r="G82" s="308">
        <v>2662.07</v>
      </c>
      <c r="H82" s="164"/>
      <c r="I82" s="164"/>
      <c r="J82" s="164"/>
      <c r="K82" s="462"/>
    </row>
    <row r="83" spans="1:11" ht="30" customHeight="1">
      <c r="A83" s="283"/>
      <c r="B83" s="305"/>
      <c r="C83" s="305" t="s">
        <v>267</v>
      </c>
      <c r="D83" s="302">
        <v>165.89</v>
      </c>
      <c r="E83" s="302">
        <v>139.32</v>
      </c>
      <c r="F83" s="302">
        <v>189.3</v>
      </c>
      <c r="G83" s="308">
        <v>162.61</v>
      </c>
      <c r="H83" s="164"/>
      <c r="I83" s="164"/>
      <c r="J83" s="164"/>
      <c r="K83" s="462"/>
    </row>
    <row r="84" spans="1:11" ht="30" customHeight="1">
      <c r="A84" s="283"/>
      <c r="B84" s="301"/>
      <c r="C84" s="301" t="s">
        <v>302</v>
      </c>
      <c r="D84" s="310">
        <v>22544.64</v>
      </c>
      <c r="E84" s="310">
        <v>24704.13</v>
      </c>
      <c r="F84" s="310">
        <v>24346.35</v>
      </c>
      <c r="G84" s="310">
        <v>27187.85</v>
      </c>
      <c r="H84" s="164"/>
      <c r="I84" s="164"/>
      <c r="J84" s="164"/>
      <c r="K84" s="462"/>
    </row>
    <row r="85" spans="1:11" ht="30" customHeight="1">
      <c r="A85" s="283"/>
      <c r="B85" s="301"/>
      <c r="C85" s="301" t="s">
        <v>268</v>
      </c>
      <c r="D85" s="308" t="s">
        <v>12</v>
      </c>
      <c r="E85" s="309" t="s">
        <v>12</v>
      </c>
      <c r="F85" s="308"/>
      <c r="G85" s="308" t="s">
        <v>12</v>
      </c>
      <c r="H85" s="164"/>
      <c r="I85" s="164"/>
      <c r="J85" s="164"/>
      <c r="K85" s="462"/>
    </row>
    <row r="86" spans="1:11" ht="30" customHeight="1">
      <c r="A86" s="283"/>
      <c r="B86" s="312"/>
      <c r="C86" s="312" t="s">
        <v>269</v>
      </c>
      <c r="D86" s="308">
        <v>0</v>
      </c>
      <c r="E86" s="309">
        <v>0</v>
      </c>
      <c r="F86" s="308"/>
      <c r="G86" s="308">
        <v>0</v>
      </c>
      <c r="H86" s="164"/>
      <c r="I86" s="164"/>
      <c r="J86" s="164"/>
      <c r="K86" s="462"/>
    </row>
    <row r="87" spans="1:11" ht="30" customHeight="1">
      <c r="A87" s="283"/>
      <c r="B87" s="305"/>
      <c r="C87" s="305" t="s">
        <v>270</v>
      </c>
      <c r="D87" s="313">
        <v>704.41</v>
      </c>
      <c r="E87" s="313">
        <v>767.27</v>
      </c>
      <c r="F87" s="302">
        <v>704.41</v>
      </c>
      <c r="G87" s="313">
        <v>776.46</v>
      </c>
      <c r="H87" s="164"/>
      <c r="I87" s="164"/>
      <c r="J87" s="164"/>
      <c r="K87" s="462"/>
    </row>
    <row r="88" spans="1:11" ht="30" customHeight="1">
      <c r="A88" s="283"/>
      <c r="B88" s="305"/>
      <c r="C88" s="305" t="s">
        <v>271</v>
      </c>
      <c r="D88" s="313">
        <v>1342.91</v>
      </c>
      <c r="E88" s="313">
        <v>2123.24</v>
      </c>
      <c r="F88" s="302">
        <v>2117.27</v>
      </c>
      <c r="G88" s="313">
        <v>3055.99</v>
      </c>
      <c r="H88" s="164"/>
      <c r="I88" s="164"/>
      <c r="J88" s="164"/>
      <c r="K88" s="462"/>
    </row>
    <row r="89" spans="1:11" ht="30" customHeight="1">
      <c r="A89" s="283"/>
      <c r="B89" s="305"/>
      <c r="C89" s="305" t="s">
        <v>324</v>
      </c>
      <c r="D89" s="313">
        <v>33028.53</v>
      </c>
      <c r="E89" s="313">
        <v>25395.4</v>
      </c>
      <c r="F89" s="302">
        <v>52551.44</v>
      </c>
      <c r="G89" s="313">
        <v>44891.53</v>
      </c>
      <c r="H89" s="164"/>
      <c r="I89" s="164"/>
      <c r="J89" s="164"/>
      <c r="K89" s="462"/>
    </row>
    <row r="90" spans="1:11" ht="30" customHeight="1">
      <c r="A90" s="283"/>
      <c r="B90" s="305"/>
      <c r="C90" s="305" t="s">
        <v>272</v>
      </c>
      <c r="D90" s="313">
        <v>149.24</v>
      </c>
      <c r="E90" s="313">
        <v>111.54</v>
      </c>
      <c r="F90" s="302">
        <v>152.27</v>
      </c>
      <c r="G90" s="313">
        <v>121.57</v>
      </c>
      <c r="H90" s="164"/>
      <c r="I90" s="164"/>
      <c r="J90" s="164"/>
      <c r="K90" s="462"/>
    </row>
    <row r="91" spans="1:11" ht="30" customHeight="1">
      <c r="A91" s="283"/>
      <c r="B91" s="314"/>
      <c r="C91" s="314" t="s">
        <v>303</v>
      </c>
      <c r="D91" s="315">
        <v>35225.09</v>
      </c>
      <c r="E91" s="315">
        <v>28397.45</v>
      </c>
      <c r="F91" s="315">
        <v>55525.39</v>
      </c>
      <c r="G91" s="315">
        <v>48845.55</v>
      </c>
      <c r="H91" s="164"/>
      <c r="I91" s="164"/>
      <c r="J91" s="164"/>
      <c r="K91" s="462"/>
    </row>
    <row r="92" spans="1:11" ht="30" customHeight="1">
      <c r="A92" s="283"/>
      <c r="B92" s="314"/>
      <c r="C92" s="314" t="s">
        <v>301</v>
      </c>
      <c r="D92" s="315">
        <v>55130.24</v>
      </c>
      <c r="E92" s="315">
        <v>57122.79</v>
      </c>
      <c r="F92" s="315">
        <v>85467.36</v>
      </c>
      <c r="G92" s="315">
        <v>88908.44</v>
      </c>
      <c r="H92" s="164"/>
      <c r="I92" s="164"/>
      <c r="J92" s="164"/>
      <c r="K92" s="462"/>
    </row>
    <row r="93" spans="1:11" ht="30" customHeight="1">
      <c r="A93" s="283"/>
      <c r="B93" s="316"/>
      <c r="C93" s="316" t="s">
        <v>274</v>
      </c>
      <c r="D93" s="315" t="s">
        <v>12</v>
      </c>
      <c r="E93" s="315"/>
      <c r="F93" s="315"/>
      <c r="G93" s="315"/>
      <c r="H93" s="164"/>
      <c r="I93" s="164"/>
      <c r="J93" s="164"/>
      <c r="K93" s="462"/>
    </row>
    <row r="94" spans="1:11" ht="30" customHeight="1">
      <c r="A94" s="283"/>
      <c r="B94" s="317"/>
      <c r="C94" s="317" t="s">
        <v>275</v>
      </c>
      <c r="D94" s="313"/>
      <c r="E94" s="313"/>
      <c r="F94" s="313"/>
      <c r="G94" s="313"/>
      <c r="H94" s="164"/>
      <c r="I94" s="164"/>
      <c r="J94" s="164"/>
      <c r="K94" s="462"/>
    </row>
    <row r="95" spans="1:11" ht="30" customHeight="1">
      <c r="A95" s="283"/>
      <c r="B95" s="318"/>
      <c r="C95" s="318" t="s">
        <v>276</v>
      </c>
      <c r="D95" s="313">
        <v>32820.92</v>
      </c>
      <c r="E95" s="313">
        <v>35280.36</v>
      </c>
      <c r="F95" s="313">
        <v>70856.02</v>
      </c>
      <c r="G95" s="313">
        <v>74595.63</v>
      </c>
      <c r="H95" s="164"/>
      <c r="I95" s="164"/>
      <c r="J95" s="164"/>
      <c r="K95" s="462"/>
    </row>
    <row r="96" spans="1:11" ht="30" customHeight="1">
      <c r="A96" s="283"/>
      <c r="B96" s="318"/>
      <c r="C96" s="318" t="s">
        <v>328</v>
      </c>
      <c r="D96" s="319">
        <v>9879.84</v>
      </c>
      <c r="E96" s="319">
        <v>9879.84</v>
      </c>
      <c r="F96" s="313">
        <v>15.09</v>
      </c>
      <c r="G96" s="456">
        <v>15.09</v>
      </c>
      <c r="H96" s="164"/>
      <c r="I96" s="164"/>
      <c r="J96" s="164"/>
      <c r="K96" s="462"/>
    </row>
    <row r="97" spans="1:11" ht="30" customHeight="1">
      <c r="A97" s="283"/>
      <c r="B97" s="305"/>
      <c r="C97" s="305" t="s">
        <v>307</v>
      </c>
      <c r="D97" s="319">
        <v>0</v>
      </c>
      <c r="E97" s="319">
        <v>0</v>
      </c>
      <c r="F97" s="313">
        <v>1625.27</v>
      </c>
      <c r="G97" s="313">
        <v>808.54</v>
      </c>
      <c r="H97" s="164"/>
      <c r="I97" s="164"/>
      <c r="J97" s="164"/>
      <c r="K97" s="462"/>
    </row>
    <row r="98" spans="1:11" ht="30" customHeight="1">
      <c r="A98" s="283"/>
      <c r="B98" s="305"/>
      <c r="C98" s="305" t="s">
        <v>305</v>
      </c>
      <c r="D98" s="319">
        <v>1421.67</v>
      </c>
      <c r="E98" s="319">
        <v>401.62</v>
      </c>
      <c r="F98" s="313">
        <v>694.34</v>
      </c>
      <c r="G98" s="386">
        <v>490.46</v>
      </c>
      <c r="H98" s="164"/>
      <c r="I98" s="164"/>
      <c r="J98" s="164"/>
      <c r="K98" s="462"/>
    </row>
    <row r="99" spans="1:11" ht="30" customHeight="1">
      <c r="A99" s="283"/>
      <c r="B99" s="305"/>
      <c r="C99" s="305" t="s">
        <v>306</v>
      </c>
      <c r="D99" s="319">
        <v>8152.9</v>
      </c>
      <c r="E99" s="319">
        <v>8150.77</v>
      </c>
      <c r="F99" s="313">
        <v>8284.14</v>
      </c>
      <c r="G99" s="320">
        <v>8288.96</v>
      </c>
      <c r="H99" s="164"/>
      <c r="I99" s="164"/>
      <c r="J99" s="164"/>
      <c r="K99" s="462"/>
    </row>
    <row r="100" spans="1:11" ht="30" customHeight="1">
      <c r="A100" s="283"/>
      <c r="B100" s="314"/>
      <c r="C100" s="314" t="s">
        <v>277</v>
      </c>
      <c r="D100" s="321">
        <v>52275.33</v>
      </c>
      <c r="E100" s="321">
        <v>53712.59</v>
      </c>
      <c r="F100" s="321">
        <v>81474.86</v>
      </c>
      <c r="G100" s="321">
        <v>84198.68</v>
      </c>
      <c r="H100" s="164"/>
      <c r="I100" s="164"/>
      <c r="J100" s="164"/>
      <c r="K100" s="462"/>
    </row>
    <row r="101" spans="1:11" ht="30" customHeight="1">
      <c r="A101" s="283"/>
      <c r="B101" s="322"/>
      <c r="C101" s="322" t="s">
        <v>278</v>
      </c>
      <c r="D101" s="321"/>
      <c r="E101" s="321"/>
      <c r="F101" s="321"/>
      <c r="G101" s="321"/>
      <c r="H101" s="164"/>
      <c r="I101" s="164"/>
      <c r="J101" s="164"/>
      <c r="K101" s="462"/>
    </row>
    <row r="102" spans="1:11" ht="30" customHeight="1">
      <c r="A102" s="283"/>
      <c r="B102" s="323"/>
      <c r="C102" s="323" t="s">
        <v>279</v>
      </c>
      <c r="D102" s="303">
        <v>4.7</v>
      </c>
      <c r="E102" s="303">
        <v>5</v>
      </c>
      <c r="F102" s="313">
        <v>4.7</v>
      </c>
      <c r="G102" s="303">
        <v>5</v>
      </c>
      <c r="H102" s="164"/>
      <c r="I102" s="164"/>
      <c r="J102" s="164"/>
      <c r="K102" s="462"/>
    </row>
    <row r="103" spans="1:11" ht="30" customHeight="1">
      <c r="A103" s="283"/>
      <c r="B103" s="323"/>
      <c r="C103" s="323" t="s">
        <v>280</v>
      </c>
      <c r="D103" s="303">
        <v>449.24</v>
      </c>
      <c r="E103" s="303">
        <v>412.73</v>
      </c>
      <c r="F103" s="313">
        <v>527.89</v>
      </c>
      <c r="G103" s="303">
        <v>512.09</v>
      </c>
      <c r="H103" s="164"/>
      <c r="I103" s="164"/>
      <c r="J103" s="164"/>
      <c r="K103" s="462"/>
    </row>
    <row r="104" spans="1:11" ht="30" customHeight="1">
      <c r="A104" s="283"/>
      <c r="B104" s="323"/>
      <c r="C104" s="323" t="s">
        <v>281</v>
      </c>
      <c r="D104" s="303">
        <v>1160.28</v>
      </c>
      <c r="E104" s="303">
        <v>1502.43</v>
      </c>
      <c r="F104" s="313">
        <v>1256.26</v>
      </c>
      <c r="G104" s="309">
        <v>1604.73</v>
      </c>
      <c r="H104" s="164"/>
      <c r="I104" s="164"/>
      <c r="J104" s="164"/>
      <c r="K104" s="462"/>
    </row>
    <row r="105" spans="1:11" ht="30" customHeight="1">
      <c r="A105" s="283"/>
      <c r="B105" s="323"/>
      <c r="C105" s="323" t="s">
        <v>282</v>
      </c>
      <c r="D105" s="303">
        <v>666.07</v>
      </c>
      <c r="E105" s="303">
        <v>793.46</v>
      </c>
      <c r="F105" s="313">
        <v>842.81</v>
      </c>
      <c r="G105" s="313">
        <v>908.99</v>
      </c>
      <c r="H105" s="164"/>
      <c r="I105" s="164"/>
      <c r="J105" s="164"/>
      <c r="K105" s="462"/>
    </row>
    <row r="106" spans="1:11" ht="30" customHeight="1">
      <c r="A106" s="283"/>
      <c r="B106" s="323"/>
      <c r="C106" s="323" t="s">
        <v>283</v>
      </c>
      <c r="D106" s="303">
        <v>426.25</v>
      </c>
      <c r="E106" s="303">
        <v>643.11</v>
      </c>
      <c r="F106" s="313">
        <v>1294.74</v>
      </c>
      <c r="G106" s="313">
        <v>1622.62</v>
      </c>
      <c r="H106" s="164"/>
      <c r="I106" s="164"/>
      <c r="J106" s="164"/>
      <c r="K106" s="462"/>
    </row>
    <row r="107" spans="1:11" ht="30" customHeight="1">
      <c r="A107" s="283"/>
      <c r="B107" s="325"/>
      <c r="C107" s="325" t="s">
        <v>284</v>
      </c>
      <c r="D107" s="303">
        <v>148.37</v>
      </c>
      <c r="E107" s="303">
        <v>53.47</v>
      </c>
      <c r="F107" s="313">
        <v>66.1</v>
      </c>
      <c r="G107" s="313">
        <v>56.33</v>
      </c>
      <c r="H107" s="164"/>
      <c r="I107" s="164"/>
      <c r="J107" s="164"/>
      <c r="K107" s="462"/>
    </row>
    <row r="108" spans="1:11" ht="30" customHeight="1">
      <c r="A108" s="283"/>
      <c r="B108" s="314"/>
      <c r="C108" s="314" t="s">
        <v>285</v>
      </c>
      <c r="D108" s="315">
        <v>2854.91</v>
      </c>
      <c r="E108" s="315">
        <v>3410.2</v>
      </c>
      <c r="F108" s="315">
        <v>3992.5</v>
      </c>
      <c r="G108" s="315">
        <v>4709.76</v>
      </c>
      <c r="H108" s="164"/>
      <c r="I108" s="164"/>
      <c r="J108" s="164"/>
      <c r="K108" s="462"/>
    </row>
    <row r="109" spans="1:11" ht="30" customHeight="1" thickBot="1">
      <c r="A109" s="283"/>
      <c r="B109" s="326"/>
      <c r="C109" s="326" t="s">
        <v>286</v>
      </c>
      <c r="D109" s="327">
        <v>55130.24</v>
      </c>
      <c r="E109" s="327">
        <v>57122.79</v>
      </c>
      <c r="F109" s="327">
        <v>85467.36</v>
      </c>
      <c r="G109" s="327">
        <v>88908.44</v>
      </c>
      <c r="H109" s="164"/>
      <c r="I109" s="164"/>
      <c r="J109" s="164"/>
      <c r="K109" s="462"/>
    </row>
    <row r="110" spans="1:11" ht="30" customHeight="1" thickTop="1">
      <c r="A110" s="283"/>
      <c r="B110" s="283"/>
      <c r="C110" s="461"/>
      <c r="D110" s="458"/>
      <c r="E110" s="164"/>
      <c r="F110" s="164"/>
      <c r="G110" s="164"/>
      <c r="H110" s="164"/>
      <c r="I110" s="164"/>
      <c r="J110" s="164"/>
      <c r="K110" s="462"/>
    </row>
    <row r="111" spans="1:11" ht="33" customHeight="1">
      <c r="A111" s="283"/>
      <c r="B111" s="283"/>
      <c r="C111" s="459" t="s">
        <v>38</v>
      </c>
      <c r="J111" s="164"/>
      <c r="K111" s="164"/>
    </row>
    <row r="112" ht="12.75">
      <c r="C112" s="460"/>
    </row>
    <row r="113" spans="3:11" ht="27" customHeight="1">
      <c r="C113" s="468" t="s">
        <v>329</v>
      </c>
      <c r="D113" s="516"/>
      <c r="E113" s="516"/>
      <c r="F113" s="516"/>
      <c r="G113" s="516"/>
      <c r="H113" s="516"/>
      <c r="I113" s="516"/>
      <c r="J113" s="516"/>
      <c r="K113" s="516"/>
    </row>
    <row r="114" spans="3:11" ht="36.75" customHeight="1">
      <c r="C114" s="468" t="s">
        <v>330</v>
      </c>
      <c r="D114" s="516"/>
      <c r="E114" s="516"/>
      <c r="F114" s="516"/>
      <c r="G114" s="516"/>
      <c r="H114" s="516"/>
      <c r="I114" s="516"/>
      <c r="J114" s="516"/>
      <c r="K114" s="516"/>
    </row>
    <row r="115" spans="3:11" ht="26.25" customHeight="1">
      <c r="C115" s="468" t="s">
        <v>331</v>
      </c>
      <c r="D115" s="516"/>
      <c r="E115" s="516"/>
      <c r="F115" s="516"/>
      <c r="G115" s="516"/>
      <c r="H115" s="516"/>
      <c r="I115" s="516"/>
      <c r="J115" s="516"/>
      <c r="K115" s="516"/>
    </row>
    <row r="116" spans="3:11" ht="59.25" customHeight="1">
      <c r="C116" s="468" t="s">
        <v>332</v>
      </c>
      <c r="D116" s="516"/>
      <c r="E116" s="516"/>
      <c r="F116" s="516"/>
      <c r="G116" s="516"/>
      <c r="H116" s="516"/>
      <c r="I116" s="516"/>
      <c r="J116" s="516"/>
      <c r="K116" s="516"/>
    </row>
    <row r="117" spans="3:11" ht="73.5" customHeight="1">
      <c r="C117" s="468" t="s">
        <v>333</v>
      </c>
      <c r="D117" s="516"/>
      <c r="E117" s="516"/>
      <c r="F117" s="516"/>
      <c r="G117" s="516"/>
      <c r="H117" s="516"/>
      <c r="I117" s="516"/>
      <c r="J117" s="516"/>
      <c r="K117" s="516"/>
    </row>
    <row r="118" spans="3:11" ht="48.75" customHeight="1">
      <c r="C118" s="468" t="s">
        <v>334</v>
      </c>
      <c r="D118" s="516"/>
      <c r="E118" s="516"/>
      <c r="F118" s="516"/>
      <c r="G118" s="516"/>
      <c r="H118" s="516"/>
      <c r="I118" s="516"/>
      <c r="J118" s="516"/>
      <c r="K118" s="516"/>
    </row>
    <row r="119" spans="3:11" ht="54" customHeight="1">
      <c r="C119" s="468" t="s">
        <v>335</v>
      </c>
      <c r="D119" s="516"/>
      <c r="E119" s="516"/>
      <c r="F119" s="516"/>
      <c r="G119" s="516"/>
      <c r="H119" s="516"/>
      <c r="I119" s="516"/>
      <c r="J119" s="516"/>
      <c r="K119" s="516"/>
    </row>
    <row r="120" spans="3:11" ht="58.5" customHeight="1">
      <c r="C120" s="468" t="s">
        <v>336</v>
      </c>
      <c r="D120" s="516"/>
      <c r="E120" s="516"/>
      <c r="F120" s="516"/>
      <c r="G120" s="516"/>
      <c r="H120" s="516"/>
      <c r="I120" s="516"/>
      <c r="J120" s="516"/>
      <c r="K120" s="516"/>
    </row>
    <row r="121" ht="12.75">
      <c r="C121" s="460"/>
    </row>
    <row r="122" spans="3:11" ht="24.75" customHeight="1">
      <c r="C122" s="468" t="s">
        <v>337</v>
      </c>
      <c r="D122" s="516"/>
      <c r="E122" s="516"/>
      <c r="F122" s="516"/>
      <c r="G122" s="516"/>
      <c r="H122" s="516"/>
      <c r="I122" s="516"/>
      <c r="J122" s="516"/>
      <c r="K122" s="516"/>
    </row>
    <row r="123" spans="3:11" ht="12.75">
      <c r="C123" s="587" t="s">
        <v>351</v>
      </c>
      <c r="D123" s="588"/>
      <c r="E123" s="588"/>
      <c r="F123" s="588"/>
      <c r="G123" s="588"/>
      <c r="H123" s="588"/>
      <c r="I123" s="588"/>
      <c r="J123" s="588"/>
      <c r="K123" s="588"/>
    </row>
    <row r="124" spans="3:11" ht="12.75">
      <c r="C124" s="589" t="s">
        <v>352</v>
      </c>
      <c r="D124" s="588"/>
      <c r="E124" s="588"/>
      <c r="F124" s="588"/>
      <c r="G124" s="588"/>
      <c r="H124" s="588"/>
      <c r="I124" s="588"/>
      <c r="J124" s="588"/>
      <c r="K124" s="588"/>
    </row>
    <row r="125" ht="12.75">
      <c r="C125" s="459"/>
    </row>
    <row r="126" ht="12.75">
      <c r="C126" s="459"/>
    </row>
    <row r="127" spans="3:11" ht="12.75">
      <c r="C127" s="460" t="s">
        <v>338</v>
      </c>
      <c r="I127" s="517" t="s">
        <v>339</v>
      </c>
      <c r="J127" s="516"/>
      <c r="K127" s="516"/>
    </row>
    <row r="128" spans="3:11" ht="13.5">
      <c r="C128" s="460" t="s">
        <v>340</v>
      </c>
      <c r="H128" s="517" t="s">
        <v>342</v>
      </c>
      <c r="I128" s="516"/>
      <c r="J128" s="516"/>
      <c r="K128" s="516"/>
    </row>
    <row r="129" spans="3:11" ht="12.75">
      <c r="C129" s="518" t="s">
        <v>343</v>
      </c>
      <c r="D129" s="519"/>
      <c r="E129" s="519"/>
      <c r="F129" s="519"/>
      <c r="G129" s="519"/>
      <c r="H129" s="519"/>
      <c r="I129" s="519"/>
      <c r="J129" s="519"/>
      <c r="K129" s="519"/>
    </row>
    <row r="130" ht="12.75">
      <c r="C130" s="459" t="s">
        <v>341</v>
      </c>
    </row>
    <row r="131" ht="12.75">
      <c r="C131" s="459"/>
    </row>
  </sheetData>
  <sheetProtection/>
  <mergeCells count="88">
    <mergeCell ref="D69:E69"/>
    <mergeCell ref="F69:G69"/>
    <mergeCell ref="D70:E70"/>
    <mergeCell ref="F70:G70"/>
    <mergeCell ref="H128:K128"/>
    <mergeCell ref="C129:K129"/>
    <mergeCell ref="C68:H68"/>
    <mergeCell ref="C122:K122"/>
    <mergeCell ref="C123:K123"/>
    <mergeCell ref="C124:K124"/>
    <mergeCell ref="I127:K127"/>
    <mergeCell ref="C117:K117"/>
    <mergeCell ref="C118:K118"/>
    <mergeCell ref="C119:K119"/>
    <mergeCell ref="C120:K120"/>
    <mergeCell ref="C113:K113"/>
    <mergeCell ref="C114:K114"/>
    <mergeCell ref="C115:K115"/>
    <mergeCell ref="C116:K116"/>
    <mergeCell ref="A6:K6"/>
    <mergeCell ref="A7:K7"/>
    <mergeCell ref="C30:D30"/>
    <mergeCell ref="C12:D12"/>
    <mergeCell ref="A9:K9"/>
    <mergeCell ref="J12:K12"/>
    <mergeCell ref="C17:D17"/>
    <mergeCell ref="C21:D21"/>
    <mergeCell ref="C18:D18"/>
    <mergeCell ref="C19:D19"/>
    <mergeCell ref="C31:D31"/>
    <mergeCell ref="C32:D32"/>
    <mergeCell ref="E13:G13"/>
    <mergeCell ref="C14:D14"/>
    <mergeCell ref="C22:D22"/>
    <mergeCell ref="C27:D27"/>
    <mergeCell ref="C20:D20"/>
    <mergeCell ref="A55:A58"/>
    <mergeCell ref="A59:A62"/>
    <mergeCell ref="C57:D57"/>
    <mergeCell ref="C64:D64"/>
    <mergeCell ref="C60:D60"/>
    <mergeCell ref="C63:D63"/>
    <mergeCell ref="C59:D59"/>
    <mergeCell ref="C52:D52"/>
    <mergeCell ref="C49:D49"/>
    <mergeCell ref="H13:I13"/>
    <mergeCell ref="C33:D33"/>
    <mergeCell ref="C39:D39"/>
    <mergeCell ref="C16:D16"/>
    <mergeCell ref="C26:D26"/>
    <mergeCell ref="C42:D42"/>
    <mergeCell ref="C36:D36"/>
    <mergeCell ref="C38:D38"/>
    <mergeCell ref="C67:D67"/>
    <mergeCell ref="C65:D65"/>
    <mergeCell ref="C61:D61"/>
    <mergeCell ref="C66:D66"/>
    <mergeCell ref="C62:D62"/>
    <mergeCell ref="C45:D45"/>
    <mergeCell ref="A4:K4"/>
    <mergeCell ref="A5:K5"/>
    <mergeCell ref="A13:A14"/>
    <mergeCell ref="C34:D34"/>
    <mergeCell ref="C29:D29"/>
    <mergeCell ref="C25:D25"/>
    <mergeCell ref="C24:D24"/>
    <mergeCell ref="C28:D28"/>
    <mergeCell ref="E12:I12"/>
    <mergeCell ref="C50:D50"/>
    <mergeCell ref="C37:D37"/>
    <mergeCell ref="C58:D58"/>
    <mergeCell ref="C53:D53"/>
    <mergeCell ref="C54:D54"/>
    <mergeCell ref="C56:D56"/>
    <mergeCell ref="C40:D40"/>
    <mergeCell ref="C55:D55"/>
    <mergeCell ref="C43:D43"/>
    <mergeCell ref="C44:D44"/>
    <mergeCell ref="C51:D51"/>
    <mergeCell ref="C23:D23"/>
    <mergeCell ref="C35:D35"/>
    <mergeCell ref="J13:K13"/>
    <mergeCell ref="C41:D41"/>
    <mergeCell ref="C13:D13"/>
    <mergeCell ref="C15:D15"/>
    <mergeCell ref="C47:D47"/>
    <mergeCell ref="C46:D46"/>
    <mergeCell ref="C48:D48"/>
  </mergeCells>
  <printOptions horizontalCentered="1"/>
  <pageMargins left="0.3" right="0.2" top="0.75" bottom="0.5" header="0.21" footer="0.19"/>
  <pageSetup fitToHeight="1" fitToWidth="1" horizontalDpi="600" verticalDpi="600" orientation="portrait" paperSize="9" scale="28" r:id="rId1"/>
</worksheet>
</file>

<file path=xl/worksheets/sheet4.xml><?xml version="1.0" encoding="utf-8"?>
<worksheet xmlns="http://schemas.openxmlformats.org/spreadsheetml/2006/main" xmlns:r="http://schemas.openxmlformats.org/officeDocument/2006/relationships">
  <sheetPr>
    <pageSetUpPr fitToPage="1"/>
  </sheetPr>
  <dimension ref="A2:F57"/>
  <sheetViews>
    <sheetView showZeros="0" zoomScalePageLayoutView="0" workbookViewId="0" topLeftCell="A1">
      <pane xSplit="2" ySplit="16" topLeftCell="C17" activePane="bottomRight" state="frozen"/>
      <selection pane="topLeft" activeCell="F35" sqref="F35"/>
      <selection pane="topRight" activeCell="F35" sqref="F35"/>
      <selection pane="bottomLeft" activeCell="F35" sqref="F35"/>
      <selection pane="bottomRight" activeCell="B20" sqref="B20:F21"/>
    </sheetView>
  </sheetViews>
  <sheetFormatPr defaultColWidth="9.140625" defaultRowHeight="12.75"/>
  <cols>
    <col min="1" max="1" width="6.421875" style="0" customWidth="1"/>
    <col min="2" max="2" width="46.00390625" style="0" customWidth="1"/>
    <col min="3" max="3" width="14.7109375" style="0" bestFit="1" customWidth="1"/>
    <col min="4" max="6" width="14.7109375" style="0" customWidth="1"/>
  </cols>
  <sheetData>
    <row r="2" spans="1:6" ht="33" customHeight="1">
      <c r="A2" s="521" t="s">
        <v>11</v>
      </c>
      <c r="B2" s="521"/>
      <c r="C2" s="521"/>
      <c r="D2" s="521"/>
      <c r="E2" s="521"/>
      <c r="F2" s="521"/>
    </row>
    <row r="3" spans="1:6" ht="16.5" customHeight="1">
      <c r="A3" s="522" t="s">
        <v>20</v>
      </c>
      <c r="B3" s="522"/>
      <c r="C3" s="522"/>
      <c r="D3" s="522"/>
      <c r="E3" s="522"/>
      <c r="F3" s="522"/>
    </row>
    <row r="4" spans="1:6" ht="16.5" customHeight="1">
      <c r="A4" s="531" t="s">
        <v>295</v>
      </c>
      <c r="B4" s="531"/>
      <c r="C4" s="531"/>
      <c r="D4" s="531"/>
      <c r="E4" s="531"/>
      <c r="F4" s="531"/>
    </row>
    <row r="5" spans="1:6" ht="12.75" customHeight="1">
      <c r="A5" s="531" t="s">
        <v>297</v>
      </c>
      <c r="B5" s="531"/>
      <c r="C5" s="531"/>
      <c r="D5" s="531"/>
      <c r="E5" s="531"/>
      <c r="F5" s="531"/>
    </row>
    <row r="6" spans="1:6" ht="32.25" customHeight="1">
      <c r="A6" s="520" t="s">
        <v>257</v>
      </c>
      <c r="B6" s="520"/>
      <c r="C6" s="520"/>
      <c r="D6" s="520"/>
      <c r="E6" s="520"/>
      <c r="F6" s="520"/>
    </row>
    <row r="7" spans="1:6" ht="18" customHeight="1">
      <c r="A7" s="290"/>
      <c r="B7" s="290"/>
      <c r="C7" s="290"/>
      <c r="D7" s="269" t="s">
        <v>12</v>
      </c>
      <c r="E7" s="292" t="s">
        <v>12</v>
      </c>
      <c r="F7" s="269" t="s">
        <v>299</v>
      </c>
    </row>
    <row r="8" spans="1:6" ht="19.5" customHeight="1">
      <c r="A8" s="523" t="s">
        <v>170</v>
      </c>
      <c r="B8" s="523" t="s">
        <v>31</v>
      </c>
      <c r="C8" s="528" t="s">
        <v>158</v>
      </c>
      <c r="D8" s="529"/>
      <c r="E8" s="528" t="s">
        <v>160</v>
      </c>
      <c r="F8" s="530"/>
    </row>
    <row r="9" spans="1:6" ht="18" customHeight="1">
      <c r="A9" s="524"/>
      <c r="B9" s="524"/>
      <c r="C9" s="526" t="s">
        <v>288</v>
      </c>
      <c r="D9" s="527"/>
      <c r="E9" s="367"/>
      <c r="F9" s="293" t="s">
        <v>258</v>
      </c>
    </row>
    <row r="10" spans="1:6" ht="18" customHeight="1">
      <c r="A10" s="524"/>
      <c r="B10" s="524"/>
      <c r="C10" s="294" t="s">
        <v>320</v>
      </c>
      <c r="D10" s="294" t="s">
        <v>292</v>
      </c>
      <c r="E10" s="294" t="s">
        <v>320</v>
      </c>
      <c r="F10" s="294" t="s">
        <v>292</v>
      </c>
    </row>
    <row r="11" spans="1:6" ht="18" customHeight="1">
      <c r="A11" s="525"/>
      <c r="B11" s="525"/>
      <c r="C11" s="295" t="s">
        <v>33</v>
      </c>
      <c r="D11" s="295" t="s">
        <v>33</v>
      </c>
      <c r="E11" s="295" t="s">
        <v>33</v>
      </c>
      <c r="F11" s="295" t="s">
        <v>33</v>
      </c>
    </row>
    <row r="12" spans="1:6" ht="19.5" customHeight="1">
      <c r="A12" s="296" t="s">
        <v>259</v>
      </c>
      <c r="B12" s="297" t="s">
        <v>260</v>
      </c>
      <c r="C12" s="298"/>
      <c r="D12" s="298"/>
      <c r="E12" s="298"/>
      <c r="F12" s="299"/>
    </row>
    <row r="13" spans="1:6" ht="19.5" customHeight="1">
      <c r="A13" s="300">
        <v>1</v>
      </c>
      <c r="B13" s="301" t="s">
        <v>261</v>
      </c>
      <c r="C13" s="302"/>
      <c r="D13" s="303"/>
      <c r="E13" s="302"/>
      <c r="F13" s="302"/>
    </row>
    <row r="14" spans="1:6" ht="19.5" customHeight="1">
      <c r="A14" s="304"/>
      <c r="B14" s="305" t="s">
        <v>262</v>
      </c>
      <c r="C14" s="302">
        <v>2417.26</v>
      </c>
      <c r="D14" s="302">
        <v>2417.26</v>
      </c>
      <c r="E14" s="302">
        <v>2417.26</v>
      </c>
      <c r="F14" s="302">
        <v>2417.26</v>
      </c>
    </row>
    <row r="15" spans="1:6" ht="19.5" customHeight="1">
      <c r="A15" s="304"/>
      <c r="B15" s="305" t="s">
        <v>263</v>
      </c>
      <c r="C15" s="302">
        <v>-5056.75</v>
      </c>
      <c r="D15" s="302">
        <v>1418.95</v>
      </c>
      <c r="E15" s="302">
        <v>3178.36</v>
      </c>
      <c r="F15" s="302">
        <v>10272.78</v>
      </c>
    </row>
    <row r="16" spans="1:6" ht="19.5" customHeight="1">
      <c r="A16" s="304"/>
      <c r="B16" s="301" t="s">
        <v>264</v>
      </c>
      <c r="C16" s="306">
        <v>-2639.49</v>
      </c>
      <c r="D16" s="306">
        <v>3836.21</v>
      </c>
      <c r="E16" s="306">
        <v>5595.62</v>
      </c>
      <c r="F16" s="306">
        <v>12690.04</v>
      </c>
    </row>
    <row r="17" spans="1:6" ht="19.5" customHeight="1">
      <c r="A17" s="307">
        <v>2</v>
      </c>
      <c r="B17" s="301" t="s">
        <v>300</v>
      </c>
      <c r="C17" s="302">
        <v>0</v>
      </c>
      <c r="D17" s="302">
        <v>185</v>
      </c>
      <c r="E17" s="302">
        <v>0</v>
      </c>
      <c r="F17" s="302">
        <v>185</v>
      </c>
    </row>
    <row r="18" spans="1:6" ht="19.5" customHeight="1" hidden="1">
      <c r="A18" s="307" t="s">
        <v>12</v>
      </c>
      <c r="B18" s="301" t="s">
        <v>265</v>
      </c>
      <c r="C18" s="302">
        <v>0</v>
      </c>
      <c r="D18" s="302">
        <v>0</v>
      </c>
      <c r="E18" s="302"/>
      <c r="F18" s="302"/>
    </row>
    <row r="19" spans="1:6" ht="19.5" customHeight="1">
      <c r="A19" s="307">
        <v>3</v>
      </c>
      <c r="B19" s="301" t="s">
        <v>266</v>
      </c>
      <c r="C19" s="302"/>
      <c r="D19" s="303"/>
      <c r="E19" s="302"/>
      <c r="F19" s="302"/>
    </row>
    <row r="20" spans="1:6" ht="19.5" customHeight="1">
      <c r="A20" s="300" t="s">
        <v>12</v>
      </c>
      <c r="B20" s="305" t="s">
        <v>323</v>
      </c>
      <c r="C20" s="302">
        <v>19501.42</v>
      </c>
      <c r="D20" s="302">
        <v>21344.03</v>
      </c>
      <c r="E20" s="302">
        <v>21286.54</v>
      </c>
      <c r="F20" s="302">
        <v>24363.17</v>
      </c>
    </row>
    <row r="21" spans="1:6" ht="19.5" customHeight="1">
      <c r="A21" s="300"/>
      <c r="B21" s="305" t="s">
        <v>308</v>
      </c>
      <c r="C21" s="302">
        <v>0</v>
      </c>
      <c r="D21" s="302">
        <v>541.19</v>
      </c>
      <c r="E21" s="302">
        <v>0</v>
      </c>
      <c r="F21" s="308">
        <v>0</v>
      </c>
    </row>
    <row r="22" spans="1:6" ht="19.5" customHeight="1">
      <c r="A22" s="300"/>
      <c r="B22" s="305" t="s">
        <v>0</v>
      </c>
      <c r="C22" s="302">
        <v>2877.33</v>
      </c>
      <c r="D22" s="302">
        <v>2679.59</v>
      </c>
      <c r="E22" s="302">
        <v>2870.51</v>
      </c>
      <c r="F22" s="308">
        <v>2662.07</v>
      </c>
    </row>
    <row r="23" spans="1:6" ht="19.5" customHeight="1">
      <c r="A23" s="300"/>
      <c r="B23" s="305" t="s">
        <v>267</v>
      </c>
      <c r="C23" s="302">
        <v>165.89</v>
      </c>
      <c r="D23" s="302">
        <v>139.32</v>
      </c>
      <c r="E23" s="302">
        <v>189.3</v>
      </c>
      <c r="F23" s="308">
        <v>162.61</v>
      </c>
    </row>
    <row r="24" spans="1:6" ht="19.5" customHeight="1">
      <c r="A24" s="300"/>
      <c r="B24" s="301" t="s">
        <v>302</v>
      </c>
      <c r="C24" s="310">
        <v>22544.64</v>
      </c>
      <c r="D24" s="310">
        <v>24704.13</v>
      </c>
      <c r="E24" s="310">
        <v>24346.35</v>
      </c>
      <c r="F24" s="310">
        <v>27187.85</v>
      </c>
    </row>
    <row r="25" spans="1:6" ht="21.75" customHeight="1">
      <c r="A25" s="311">
        <v>4</v>
      </c>
      <c r="B25" s="301" t="s">
        <v>268</v>
      </c>
      <c r="C25" s="308" t="s">
        <v>12</v>
      </c>
      <c r="D25" s="309" t="s">
        <v>12</v>
      </c>
      <c r="E25" s="308"/>
      <c r="F25" s="308" t="s">
        <v>12</v>
      </c>
    </row>
    <row r="26" spans="1:6" ht="24" hidden="1">
      <c r="A26" s="300">
        <v>5</v>
      </c>
      <c r="B26" s="312" t="s">
        <v>269</v>
      </c>
      <c r="C26" s="308">
        <v>0</v>
      </c>
      <c r="D26" s="309">
        <v>0</v>
      </c>
      <c r="E26" s="308"/>
      <c r="F26" s="308">
        <v>0</v>
      </c>
    </row>
    <row r="27" spans="1:6" ht="19.5" customHeight="1">
      <c r="A27" s="311" t="s">
        <v>12</v>
      </c>
      <c r="B27" s="305" t="s">
        <v>270</v>
      </c>
      <c r="C27" s="313">
        <v>704.41</v>
      </c>
      <c r="D27" s="313">
        <v>767.27</v>
      </c>
      <c r="E27" s="302">
        <v>704.41</v>
      </c>
      <c r="F27" s="313">
        <v>776.46</v>
      </c>
    </row>
    <row r="28" spans="1:6" ht="19.5" customHeight="1">
      <c r="A28" s="300"/>
      <c r="B28" s="305" t="s">
        <v>271</v>
      </c>
      <c r="C28" s="313">
        <v>1342.91</v>
      </c>
      <c r="D28" s="313">
        <v>2123.24</v>
      </c>
      <c r="E28" s="302">
        <v>2117.27</v>
      </c>
      <c r="F28" s="313">
        <v>3055.99</v>
      </c>
    </row>
    <row r="29" spans="1:6" ht="19.5" customHeight="1">
      <c r="A29" s="300"/>
      <c r="B29" s="305" t="s">
        <v>324</v>
      </c>
      <c r="C29" s="313">
        <v>33028.53</v>
      </c>
      <c r="D29" s="313">
        <v>25395.4</v>
      </c>
      <c r="E29" s="302">
        <v>52551.44</v>
      </c>
      <c r="F29" s="313">
        <v>44891.53</v>
      </c>
    </row>
    <row r="30" spans="1:6" ht="19.5" customHeight="1">
      <c r="A30" s="300"/>
      <c r="B30" s="305" t="s">
        <v>272</v>
      </c>
      <c r="C30" s="313">
        <v>149.24</v>
      </c>
      <c r="D30" s="313">
        <v>111.54</v>
      </c>
      <c r="E30" s="302">
        <v>152.27</v>
      </c>
      <c r="F30" s="313">
        <v>121.57</v>
      </c>
    </row>
    <row r="31" spans="1:6" ht="19.5" customHeight="1">
      <c r="A31" s="300" t="s">
        <v>12</v>
      </c>
      <c r="B31" s="314" t="s">
        <v>303</v>
      </c>
      <c r="C31" s="315">
        <v>35225.09</v>
      </c>
      <c r="D31" s="315">
        <v>28397.45</v>
      </c>
      <c r="E31" s="315">
        <v>55525.39</v>
      </c>
      <c r="F31" s="315">
        <v>48845.55</v>
      </c>
    </row>
    <row r="32" spans="1:6" ht="19.5" customHeight="1">
      <c r="A32" s="300"/>
      <c r="B32" s="314" t="s">
        <v>301</v>
      </c>
      <c r="C32" s="315">
        <v>55130.24</v>
      </c>
      <c r="D32" s="315">
        <v>57122.79</v>
      </c>
      <c r="E32" s="315">
        <v>85467.36</v>
      </c>
      <c r="F32" s="315">
        <v>88908.44</v>
      </c>
    </row>
    <row r="33" spans="1:6" ht="19.5" customHeight="1">
      <c r="A33" s="311" t="s">
        <v>273</v>
      </c>
      <c r="B33" s="316" t="s">
        <v>274</v>
      </c>
      <c r="C33" s="315" t="s">
        <v>12</v>
      </c>
      <c r="D33" s="315"/>
      <c r="E33" s="315"/>
      <c r="F33" s="315"/>
    </row>
    <row r="34" spans="1:6" ht="19.5" customHeight="1">
      <c r="A34" s="311">
        <v>1</v>
      </c>
      <c r="B34" s="317" t="s">
        <v>275</v>
      </c>
      <c r="C34" s="313"/>
      <c r="D34" s="313"/>
      <c r="E34" s="313"/>
      <c r="F34" s="313"/>
    </row>
    <row r="35" spans="1:6" ht="19.5" customHeight="1">
      <c r="A35" s="300" t="s">
        <v>12</v>
      </c>
      <c r="B35" s="318" t="s">
        <v>276</v>
      </c>
      <c r="C35" s="313">
        <v>32820.92</v>
      </c>
      <c r="D35" s="313">
        <v>35280.36</v>
      </c>
      <c r="E35" s="313">
        <v>70856.02</v>
      </c>
      <c r="F35" s="313">
        <v>74595.63</v>
      </c>
    </row>
    <row r="36" spans="1:6" ht="19.5" customHeight="1">
      <c r="A36" s="300" t="s">
        <v>12</v>
      </c>
      <c r="B36" s="318" t="s">
        <v>328</v>
      </c>
      <c r="C36" s="319">
        <v>9879.84</v>
      </c>
      <c r="D36" s="319">
        <v>9879.84</v>
      </c>
      <c r="E36" s="313">
        <v>15.09</v>
      </c>
      <c r="F36" s="456">
        <v>15.09</v>
      </c>
    </row>
    <row r="37" spans="1:6" ht="19.5" customHeight="1">
      <c r="A37" s="300"/>
      <c r="B37" s="305" t="s">
        <v>307</v>
      </c>
      <c r="C37" s="319">
        <v>0</v>
      </c>
      <c r="D37" s="319">
        <v>0</v>
      </c>
      <c r="E37" s="313">
        <v>1625.27</v>
      </c>
      <c r="F37" s="313">
        <v>808.54</v>
      </c>
    </row>
    <row r="38" spans="1:6" ht="19.5" customHeight="1">
      <c r="A38" s="300" t="s">
        <v>12</v>
      </c>
      <c r="B38" s="305" t="s">
        <v>305</v>
      </c>
      <c r="C38" s="319">
        <v>1421.67</v>
      </c>
      <c r="D38" s="319">
        <v>401.62</v>
      </c>
      <c r="E38" s="313">
        <v>694.34</v>
      </c>
      <c r="F38" s="386">
        <v>490.46</v>
      </c>
    </row>
    <row r="39" spans="1:6" ht="19.5" customHeight="1">
      <c r="A39" s="300" t="s">
        <v>12</v>
      </c>
      <c r="B39" s="305" t="s">
        <v>306</v>
      </c>
      <c r="C39" s="319">
        <v>8152.9</v>
      </c>
      <c r="D39" s="319">
        <v>8150.77</v>
      </c>
      <c r="E39" s="313">
        <v>8284.14</v>
      </c>
      <c r="F39" s="320">
        <v>8288.96</v>
      </c>
    </row>
    <row r="40" spans="1:6" ht="19.5" customHeight="1">
      <c r="A40" s="300"/>
      <c r="B40" s="314" t="s">
        <v>277</v>
      </c>
      <c r="C40" s="321">
        <v>52275.33</v>
      </c>
      <c r="D40" s="321">
        <v>53712.59</v>
      </c>
      <c r="E40" s="321">
        <v>81474.86</v>
      </c>
      <c r="F40" s="321">
        <v>84198.68</v>
      </c>
    </row>
    <row r="41" spans="1:6" ht="19.5" customHeight="1">
      <c r="A41" s="311">
        <v>2</v>
      </c>
      <c r="B41" s="322" t="s">
        <v>278</v>
      </c>
      <c r="C41" s="321"/>
      <c r="D41" s="321"/>
      <c r="E41" s="321"/>
      <c r="F41" s="321"/>
    </row>
    <row r="42" spans="1:6" ht="19.5" customHeight="1">
      <c r="A42" s="300" t="s">
        <v>12</v>
      </c>
      <c r="B42" s="323" t="s">
        <v>279</v>
      </c>
      <c r="C42" s="303">
        <v>4.7</v>
      </c>
      <c r="D42" s="303">
        <v>5</v>
      </c>
      <c r="E42" s="313">
        <v>4.7</v>
      </c>
      <c r="F42" s="303">
        <v>5</v>
      </c>
    </row>
    <row r="43" spans="1:6" ht="19.5" customHeight="1">
      <c r="A43" s="324"/>
      <c r="B43" s="323" t="s">
        <v>280</v>
      </c>
      <c r="C43" s="303">
        <v>449.24</v>
      </c>
      <c r="D43" s="303">
        <v>412.73</v>
      </c>
      <c r="E43" s="313">
        <v>527.89</v>
      </c>
      <c r="F43" s="303">
        <v>512.09</v>
      </c>
    </row>
    <row r="44" spans="1:6" ht="19.5" customHeight="1">
      <c r="A44" s="324"/>
      <c r="B44" s="323" t="s">
        <v>281</v>
      </c>
      <c r="C44" s="303">
        <v>1160.28</v>
      </c>
      <c r="D44" s="303">
        <v>1502.43</v>
      </c>
      <c r="E44" s="313">
        <v>1256.26</v>
      </c>
      <c r="F44" s="309">
        <v>1604.73</v>
      </c>
    </row>
    <row r="45" spans="1:6" ht="19.5" customHeight="1">
      <c r="A45" s="324"/>
      <c r="B45" s="323" t="s">
        <v>282</v>
      </c>
      <c r="C45" s="303">
        <v>666.07</v>
      </c>
      <c r="D45" s="303">
        <v>793.46</v>
      </c>
      <c r="E45" s="313">
        <v>842.81</v>
      </c>
      <c r="F45" s="313">
        <v>908.99</v>
      </c>
    </row>
    <row r="46" spans="1:6" ht="19.5" customHeight="1">
      <c r="A46" s="324"/>
      <c r="B46" s="323" t="s">
        <v>283</v>
      </c>
      <c r="C46" s="303">
        <v>426.25</v>
      </c>
      <c r="D46" s="303">
        <v>643.11</v>
      </c>
      <c r="E46" s="313">
        <v>1294.74</v>
      </c>
      <c r="F46" s="313">
        <v>1622.62</v>
      </c>
    </row>
    <row r="47" spans="1:6" ht="19.5" customHeight="1">
      <c r="A47" s="324"/>
      <c r="B47" s="325" t="s">
        <v>284</v>
      </c>
      <c r="C47" s="303">
        <v>148.37</v>
      </c>
      <c r="D47" s="303">
        <v>53.47</v>
      </c>
      <c r="E47" s="313">
        <v>66.1</v>
      </c>
      <c r="F47" s="313">
        <v>56.33</v>
      </c>
    </row>
    <row r="48" spans="1:6" ht="19.5" customHeight="1">
      <c r="A48" s="324"/>
      <c r="B48" s="314" t="s">
        <v>285</v>
      </c>
      <c r="C48" s="315">
        <v>2854.91</v>
      </c>
      <c r="D48" s="315">
        <v>3410.2</v>
      </c>
      <c r="E48" s="315">
        <v>3992.5</v>
      </c>
      <c r="F48" s="315">
        <v>4709.76</v>
      </c>
    </row>
    <row r="49" spans="1:6" ht="19.5" customHeight="1" thickBot="1">
      <c r="A49" s="324"/>
      <c r="B49" s="326" t="s">
        <v>286</v>
      </c>
      <c r="C49" s="327">
        <v>55130.24</v>
      </c>
      <c r="D49" s="327">
        <v>57122.79</v>
      </c>
      <c r="E49" s="327">
        <v>85467.36</v>
      </c>
      <c r="F49" s="327">
        <v>88908.44</v>
      </c>
    </row>
    <row r="50" spans="1:6" ht="13.5" thickTop="1">
      <c r="A50" s="291"/>
      <c r="B50" s="291"/>
      <c r="C50" s="329" t="s">
        <v>12</v>
      </c>
      <c r="D50" s="329" t="s">
        <v>12</v>
      </c>
      <c r="E50" s="329" t="s">
        <v>12</v>
      </c>
      <c r="F50" s="329" t="s">
        <v>12</v>
      </c>
    </row>
    <row r="51" spans="1:6" ht="12.75">
      <c r="A51" s="291"/>
      <c r="B51" s="291"/>
      <c r="C51" s="329" t="s">
        <v>12</v>
      </c>
      <c r="D51" s="328" t="s">
        <v>287</v>
      </c>
      <c r="E51" s="328"/>
      <c r="F51" s="329"/>
    </row>
    <row r="52" spans="1:6" ht="12.75">
      <c r="A52" s="330"/>
      <c r="B52" s="330"/>
      <c r="C52" s="330"/>
      <c r="D52" s="330"/>
      <c r="E52" s="330"/>
      <c r="F52" s="330"/>
    </row>
    <row r="53" spans="1:6" ht="12.75">
      <c r="A53" s="330"/>
      <c r="B53" s="330"/>
      <c r="C53" s="330"/>
      <c r="D53" s="330"/>
      <c r="E53" s="330"/>
      <c r="F53" s="330"/>
    </row>
    <row r="54" spans="1:6" ht="12.75">
      <c r="A54" s="330"/>
      <c r="B54" s="330"/>
      <c r="C54" s="330"/>
      <c r="D54" s="330"/>
      <c r="E54" s="330"/>
      <c r="F54" s="330"/>
    </row>
    <row r="56" spans="2:6" ht="18.75" customHeight="1">
      <c r="B56" s="31"/>
      <c r="C56" s="31"/>
      <c r="D56" s="31"/>
      <c r="E56" s="31"/>
      <c r="F56" s="31"/>
    </row>
    <row r="57" ht="12.75" customHeight="1">
      <c r="B57" s="30"/>
    </row>
    <row r="58" ht="12.75" customHeight="1"/>
    <row r="59" ht="12.75" customHeight="1"/>
    <row r="60" ht="12.75" customHeight="1"/>
    <row r="61" ht="12.75" customHeight="1"/>
    <row r="62" ht="12.75" customHeight="1"/>
    <row r="63" ht="12.75" customHeight="1"/>
  </sheetData>
  <sheetProtection/>
  <mergeCells count="10">
    <mergeCell ref="A2:F2"/>
    <mergeCell ref="A3:F3"/>
    <mergeCell ref="A6:F6"/>
    <mergeCell ref="A8:A11"/>
    <mergeCell ref="B8:B11"/>
    <mergeCell ref="C9:D9"/>
    <mergeCell ref="C8:D8"/>
    <mergeCell ref="E8:F8"/>
    <mergeCell ref="A4:F4"/>
    <mergeCell ref="A5:F5"/>
  </mergeCells>
  <printOptions/>
  <pageMargins left="0.93" right="0.5" top="0.5" bottom="0.5" header="0.5" footer="0.5"/>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BE276"/>
  <sheetViews>
    <sheetView workbookViewId="0" topLeftCell="A1">
      <selection activeCell="G11" sqref="G11"/>
    </sheetView>
  </sheetViews>
  <sheetFormatPr defaultColWidth="9.140625" defaultRowHeight="12.75"/>
  <cols>
    <col min="1" max="1" width="5.00390625" style="13" customWidth="1"/>
    <col min="2" max="2" width="26.421875" style="13" customWidth="1"/>
    <col min="3" max="3" width="12.140625" style="13" hidden="1" customWidth="1"/>
    <col min="4" max="4" width="11.57421875" style="13" hidden="1" customWidth="1"/>
    <col min="5" max="5" width="12.421875" style="13" hidden="1" customWidth="1"/>
    <col min="6" max="6" width="12.7109375" style="13" customWidth="1"/>
    <col min="7" max="7" width="14.00390625" style="13" customWidth="1"/>
    <col min="8" max="8" width="10.7109375" style="13" customWidth="1"/>
    <col min="9" max="9" width="12.7109375" style="13" customWidth="1"/>
    <col min="10" max="10" width="10.8515625" style="13" customWidth="1"/>
    <col min="11" max="11" width="10.421875" style="13" hidden="1" customWidth="1"/>
    <col min="12" max="12" width="10.8515625" style="13" hidden="1" customWidth="1"/>
    <col min="13" max="13" width="10.140625" style="13" hidden="1" customWidth="1"/>
    <col min="14" max="14" width="9.7109375" style="13" hidden="1" customWidth="1"/>
    <col min="15" max="18" width="10.28125" style="13" hidden="1" customWidth="1"/>
    <col min="19" max="19" width="12.00390625" style="13" hidden="1" customWidth="1"/>
    <col min="20" max="20" width="11.140625" style="13" customWidth="1"/>
    <col min="21" max="21" width="10.140625" style="13" customWidth="1"/>
    <col min="22" max="22" width="11.421875" style="13" customWidth="1"/>
    <col min="23" max="23" width="10.57421875" style="13" customWidth="1"/>
    <col min="24" max="24" width="13.28125" style="13" customWidth="1"/>
    <col min="25" max="25" width="14.7109375" style="13" customWidth="1"/>
    <col min="26" max="29" width="15.00390625" style="13" customWidth="1"/>
    <col min="30" max="30" width="14.57421875" style="13" customWidth="1"/>
    <col min="31" max="31" width="10.8515625" style="13" customWidth="1"/>
    <col min="32" max="32" width="13.57421875" style="13" customWidth="1"/>
    <col min="33" max="33" width="12.140625" style="13" customWidth="1"/>
    <col min="34" max="36" width="9.140625" style="13" customWidth="1"/>
    <col min="37" max="37" width="13.57421875" style="13" customWidth="1"/>
    <col min="38" max="38" width="13.7109375" style="13" customWidth="1"/>
    <col min="39" max="39" width="13.57421875" style="13" customWidth="1"/>
    <col min="40" max="40" width="15.8515625" style="13" customWidth="1"/>
    <col min="41" max="41" width="11.57421875" style="13" customWidth="1"/>
    <col min="42" max="42" width="11.00390625" style="13" customWidth="1"/>
    <col min="43" max="46" width="9.140625" style="13" customWidth="1"/>
    <col min="47" max="47" width="11.140625" style="13" customWidth="1"/>
    <col min="48" max="48" width="10.421875" style="13" customWidth="1"/>
    <col min="49" max="53" width="9.140625" style="13" customWidth="1"/>
    <col min="54" max="54" width="11.140625" style="13" bestFit="1" customWidth="1"/>
    <col min="55" max="16384" width="9.140625" style="13" customWidth="1"/>
  </cols>
  <sheetData>
    <row r="1" spans="1:50" ht="12.7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172"/>
      <c r="AE1" s="172"/>
      <c r="AF1" s="172"/>
      <c r="AG1" s="172"/>
      <c r="AH1" s="172"/>
      <c r="AI1" s="172"/>
      <c r="AJ1" s="172"/>
      <c r="AK1" s="172"/>
      <c r="AL1" s="172"/>
      <c r="AM1" s="172"/>
      <c r="AN1" s="172"/>
      <c r="AO1" s="172"/>
      <c r="AP1" s="172"/>
      <c r="AQ1" s="172"/>
      <c r="AR1" s="172"/>
      <c r="AS1" s="172"/>
      <c r="AT1" s="172"/>
      <c r="AU1" s="172"/>
      <c r="AV1" s="172"/>
      <c r="AW1" s="172"/>
      <c r="AX1" s="172"/>
    </row>
    <row r="2" spans="1:50" ht="12.75">
      <c r="A2" s="242"/>
      <c r="B2" s="242"/>
      <c r="C2" s="242"/>
      <c r="D2" s="242"/>
      <c r="E2" s="242"/>
      <c r="F2" s="242"/>
      <c r="G2" s="242"/>
      <c r="H2" s="242"/>
      <c r="I2" s="242"/>
      <c r="J2" s="242"/>
      <c r="K2" s="242"/>
      <c r="L2" s="242"/>
      <c r="M2" s="242"/>
      <c r="N2" s="242"/>
      <c r="O2" s="242" t="s">
        <v>12</v>
      </c>
      <c r="P2" s="242" t="s">
        <v>12</v>
      </c>
      <c r="Q2" s="242" t="s">
        <v>12</v>
      </c>
      <c r="R2" s="242"/>
      <c r="S2" s="242"/>
      <c r="T2" s="242"/>
      <c r="U2" s="242"/>
      <c r="V2" s="242"/>
      <c r="W2" s="242"/>
      <c r="X2" s="242"/>
      <c r="Y2" s="242"/>
      <c r="Z2" s="242"/>
      <c r="AA2" s="242"/>
      <c r="AB2" s="242"/>
      <c r="AC2" s="242"/>
      <c r="AD2" s="172"/>
      <c r="AE2" s="172"/>
      <c r="AF2" s="172"/>
      <c r="AG2" s="172"/>
      <c r="AH2" s="172"/>
      <c r="AI2" s="172"/>
      <c r="AJ2" s="172"/>
      <c r="AK2" s="172"/>
      <c r="AL2" s="172"/>
      <c r="AM2" s="172"/>
      <c r="AN2" s="172"/>
      <c r="AO2" s="172"/>
      <c r="AP2" s="172"/>
      <c r="AQ2" s="172"/>
      <c r="AR2" s="172"/>
      <c r="AS2" s="172"/>
      <c r="AT2" s="172"/>
      <c r="AU2" s="172"/>
      <c r="AV2" s="172"/>
      <c r="AW2" s="172"/>
      <c r="AX2" s="172"/>
    </row>
    <row r="3" spans="1:50" ht="12.75">
      <c r="A3" s="242"/>
      <c r="B3" s="242"/>
      <c r="C3" s="242"/>
      <c r="D3" s="242"/>
      <c r="E3" s="242"/>
      <c r="F3" s="242"/>
      <c r="G3" s="242"/>
      <c r="H3" s="242"/>
      <c r="I3" s="242"/>
      <c r="J3" s="242"/>
      <c r="K3" s="242"/>
      <c r="L3" s="242"/>
      <c r="M3" s="242"/>
      <c r="N3" s="242"/>
      <c r="O3" s="242" t="s">
        <v>12</v>
      </c>
      <c r="P3" s="242" t="s">
        <v>12</v>
      </c>
      <c r="Q3" s="242"/>
      <c r="R3" s="242"/>
      <c r="S3" s="242"/>
      <c r="T3" s="242"/>
      <c r="U3" s="242"/>
      <c r="V3" s="242"/>
      <c r="W3" s="242"/>
      <c r="X3" s="242"/>
      <c r="Y3" s="242">
        <v>2547.01</v>
      </c>
      <c r="Z3" s="394">
        <f>Z18-Y3</f>
        <v>0.27731030242330235</v>
      </c>
      <c r="AA3" s="394"/>
      <c r="AB3" s="394"/>
      <c r="AC3" s="394"/>
      <c r="AD3" s="172"/>
      <c r="AE3" s="172"/>
      <c r="AF3" s="172"/>
      <c r="AG3" s="172"/>
      <c r="AH3" s="172"/>
      <c r="AI3" s="172"/>
      <c r="AJ3" s="172"/>
      <c r="AK3" s="172"/>
      <c r="AL3" s="172"/>
      <c r="AM3" s="172"/>
      <c r="AN3" s="172"/>
      <c r="AO3" s="172"/>
      <c r="AP3" s="172"/>
      <c r="AQ3" s="172"/>
      <c r="AR3" s="172"/>
      <c r="AS3" s="172"/>
      <c r="AT3" s="172"/>
      <c r="AU3" s="172"/>
      <c r="AV3" s="172"/>
      <c r="AW3" s="172"/>
      <c r="AX3" s="172"/>
    </row>
    <row r="4" spans="1:50" ht="11.25" customHeight="1">
      <c r="A4" s="532" t="s">
        <v>11</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392"/>
      <c r="AB4" s="392"/>
      <c r="AC4" s="392"/>
      <c r="AD4" s="172"/>
      <c r="AE4" s="172"/>
      <c r="AF4" s="172"/>
      <c r="AG4" s="172"/>
      <c r="AH4" s="172"/>
      <c r="AI4" s="172"/>
      <c r="AJ4" s="172"/>
      <c r="AK4" s="172"/>
      <c r="AL4" s="172"/>
      <c r="AM4" s="172"/>
      <c r="AN4" s="172"/>
      <c r="AO4" s="172"/>
      <c r="AP4" s="172"/>
      <c r="AQ4" s="172"/>
      <c r="AR4" s="172"/>
      <c r="AS4" s="172"/>
      <c r="AT4" s="172"/>
      <c r="AU4" s="172"/>
      <c r="AV4" s="172"/>
      <c r="AW4" s="172"/>
      <c r="AX4" s="172"/>
    </row>
    <row r="5" spans="1:50" ht="12.75">
      <c r="A5" s="215" t="s">
        <v>12</v>
      </c>
      <c r="B5" s="215"/>
      <c r="C5" s="215" t="s">
        <v>12</v>
      </c>
      <c r="D5" s="215" t="s">
        <v>12</v>
      </c>
      <c r="E5" s="215" t="s">
        <v>110</v>
      </c>
      <c r="F5" s="215" t="s">
        <v>12</v>
      </c>
      <c r="G5" s="215"/>
      <c r="H5" s="215"/>
      <c r="I5" s="215"/>
      <c r="J5" s="215"/>
      <c r="K5" s="215"/>
      <c r="L5" s="215"/>
      <c r="M5" s="215"/>
      <c r="N5" s="215"/>
      <c r="O5" s="215"/>
      <c r="P5" s="215"/>
      <c r="Q5" s="215"/>
      <c r="R5" s="215"/>
      <c r="S5" s="215"/>
      <c r="T5" s="215"/>
      <c r="U5" s="215"/>
      <c r="V5" s="215"/>
      <c r="W5" s="215"/>
      <c r="X5" s="215"/>
      <c r="Y5" s="215" t="s">
        <v>12</v>
      </c>
      <c r="Z5" s="215"/>
      <c r="AA5" s="215"/>
      <c r="AB5" s="215"/>
      <c r="AC5" s="215"/>
      <c r="AD5" s="213"/>
      <c r="AE5" s="213"/>
      <c r="AF5" s="212"/>
      <c r="AG5" s="213"/>
      <c r="AH5" s="213"/>
      <c r="AI5" s="213"/>
      <c r="AJ5" s="213"/>
      <c r="AK5" s="213"/>
      <c r="AL5" s="213"/>
      <c r="AM5" s="213"/>
      <c r="AN5" s="213"/>
      <c r="AO5" s="213"/>
      <c r="AP5" s="213"/>
      <c r="AQ5" s="213"/>
      <c r="AR5" s="172"/>
      <c r="AS5" s="172"/>
      <c r="AT5" s="172"/>
      <c r="AU5" s="172"/>
      <c r="AV5" s="172"/>
      <c r="AW5" s="172"/>
      <c r="AX5" s="172"/>
    </row>
    <row r="6" spans="1:50" ht="12.75">
      <c r="A6" s="413" t="s">
        <v>316</v>
      </c>
      <c r="B6" s="215"/>
      <c r="C6" s="215"/>
      <c r="D6" s="215"/>
      <c r="E6" s="215"/>
      <c r="F6" s="243"/>
      <c r="G6" s="243"/>
      <c r="H6" s="215"/>
      <c r="I6" s="215"/>
      <c r="J6" s="215"/>
      <c r="K6" s="215"/>
      <c r="L6" s="215"/>
      <c r="M6" s="215"/>
      <c r="N6" s="215"/>
      <c r="O6" s="215"/>
      <c r="P6" s="215"/>
      <c r="Q6" s="215"/>
      <c r="R6" s="215"/>
      <c r="S6" s="215"/>
      <c r="T6" s="215"/>
      <c r="U6" s="215"/>
      <c r="V6" s="215"/>
      <c r="W6" s="215" t="s">
        <v>310</v>
      </c>
      <c r="X6" s="215"/>
      <c r="Y6" s="215" t="s">
        <v>94</v>
      </c>
      <c r="Z6" s="215" t="s">
        <v>12</v>
      </c>
      <c r="AA6" s="215"/>
      <c r="AB6" s="215"/>
      <c r="AC6" s="215"/>
      <c r="AD6" s="213"/>
      <c r="AE6" s="213"/>
      <c r="AF6" s="213"/>
      <c r="AG6" s="213"/>
      <c r="AH6" s="213"/>
      <c r="AI6" s="213"/>
      <c r="AJ6" s="213"/>
      <c r="AK6" s="213"/>
      <c r="AL6" s="213"/>
      <c r="AM6" s="213"/>
      <c r="AN6" s="213"/>
      <c r="AO6" s="213"/>
      <c r="AP6" s="213"/>
      <c r="AQ6" s="213"/>
      <c r="AR6" s="172"/>
      <c r="AS6" s="172"/>
      <c r="AT6" s="172"/>
      <c r="AU6" s="172"/>
      <c r="AV6" s="172"/>
      <c r="AW6" s="172"/>
      <c r="AX6" s="172"/>
    </row>
    <row r="7" spans="1:50" ht="21.75" customHeight="1" hidden="1">
      <c r="A7" s="215"/>
      <c r="B7" s="215" t="s">
        <v>12</v>
      </c>
      <c r="C7" s="215"/>
      <c r="D7" s="215"/>
      <c r="E7" s="215"/>
      <c r="F7" s="215"/>
      <c r="G7" s="215"/>
      <c r="H7" s="215"/>
      <c r="I7" s="215"/>
      <c r="J7" s="215"/>
      <c r="K7" s="215"/>
      <c r="L7" s="215"/>
      <c r="M7" s="215"/>
      <c r="N7" s="215"/>
      <c r="O7" s="215"/>
      <c r="P7" s="215"/>
      <c r="Q7" s="215"/>
      <c r="R7" s="215"/>
      <c r="S7" s="215"/>
      <c r="T7" s="215"/>
      <c r="U7" s="215"/>
      <c r="V7" s="215"/>
      <c r="W7" s="215"/>
      <c r="X7" s="215"/>
      <c r="Y7" s="215" t="s">
        <v>94</v>
      </c>
      <c r="Z7" s="215"/>
      <c r="AA7" s="215"/>
      <c r="AB7" s="215"/>
      <c r="AC7" s="215"/>
      <c r="AD7" s="213"/>
      <c r="AE7" s="213"/>
      <c r="AF7" s="213"/>
      <c r="AG7" s="213"/>
      <c r="AH7" s="213"/>
      <c r="AI7" s="213"/>
      <c r="AJ7" s="213"/>
      <c r="AK7" s="213"/>
      <c r="AL7" s="213"/>
      <c r="AM7" s="213"/>
      <c r="AN7" s="213"/>
      <c r="AO7" s="213"/>
      <c r="AP7" s="213"/>
      <c r="AQ7" s="213"/>
      <c r="AR7" s="172"/>
      <c r="AS7" s="172"/>
      <c r="AT7" s="172"/>
      <c r="AU7" s="172"/>
      <c r="AV7" s="172"/>
      <c r="AW7" s="172"/>
      <c r="AX7" s="172"/>
    </row>
    <row r="8" spans="1:50" ht="12.75" customHeight="1">
      <c r="A8" s="533" t="s">
        <v>19</v>
      </c>
      <c r="B8" s="534" t="s">
        <v>15</v>
      </c>
      <c r="C8" s="244" t="s">
        <v>12</v>
      </c>
      <c r="D8" s="245"/>
      <c r="E8" s="245"/>
      <c r="F8" s="246" t="s">
        <v>12</v>
      </c>
      <c r="G8" s="246"/>
      <c r="H8" s="247"/>
      <c r="I8" s="247"/>
      <c r="J8" s="247"/>
      <c r="K8" s="247"/>
      <c r="L8" s="247"/>
      <c r="M8" s="247"/>
      <c r="N8" s="247"/>
      <c r="O8" s="247"/>
      <c r="P8" s="247"/>
      <c r="Q8" s="247"/>
      <c r="R8" s="247"/>
      <c r="S8" s="247"/>
      <c r="T8" s="247"/>
      <c r="U8" s="247"/>
      <c r="V8" s="247"/>
      <c r="W8" s="247"/>
      <c r="X8" s="247"/>
      <c r="Y8" s="354" t="s">
        <v>12</v>
      </c>
      <c r="Z8" s="356"/>
      <c r="AA8" s="396"/>
      <c r="AB8" s="396"/>
      <c r="AC8" s="396"/>
      <c r="AD8" s="213"/>
      <c r="AE8" s="213"/>
      <c r="AF8" s="213"/>
      <c r="AG8" s="213"/>
      <c r="AH8" s="213"/>
      <c r="AI8" s="213"/>
      <c r="AJ8" s="213"/>
      <c r="AK8" s="213"/>
      <c r="AL8" s="213"/>
      <c r="AM8" s="213"/>
      <c r="AN8" s="213"/>
      <c r="AO8" s="213"/>
      <c r="AP8" s="213"/>
      <c r="AQ8" s="213"/>
      <c r="AR8" s="172"/>
      <c r="AS8" s="172"/>
      <c r="AT8" s="172"/>
      <c r="AU8" s="172"/>
      <c r="AV8" s="172"/>
      <c r="AW8" s="172"/>
      <c r="AX8" s="172"/>
    </row>
    <row r="9" spans="1:50" ht="94.5" customHeight="1">
      <c r="A9" s="533"/>
      <c r="B9" s="534"/>
      <c r="C9" s="248" t="s">
        <v>243</v>
      </c>
      <c r="D9" s="237" t="s">
        <v>156</v>
      </c>
      <c r="E9" s="237" t="s">
        <v>298</v>
      </c>
      <c r="F9" s="237" t="s">
        <v>153</v>
      </c>
      <c r="G9" s="237" t="s">
        <v>315</v>
      </c>
      <c r="H9" s="237" t="s">
        <v>154</v>
      </c>
      <c r="I9" s="237" t="s">
        <v>157</v>
      </c>
      <c r="J9" s="237" t="s">
        <v>211</v>
      </c>
      <c r="K9" s="237" t="s">
        <v>240</v>
      </c>
      <c r="L9" s="237" t="s">
        <v>241</v>
      </c>
      <c r="M9" s="237" t="s">
        <v>212</v>
      </c>
      <c r="N9" s="237" t="s">
        <v>213</v>
      </c>
      <c r="O9" s="237" t="s">
        <v>214</v>
      </c>
      <c r="P9" s="237" t="s">
        <v>215</v>
      </c>
      <c r="Q9" s="237" t="s">
        <v>216</v>
      </c>
      <c r="R9" s="237" t="s">
        <v>242</v>
      </c>
      <c r="S9" s="237" t="s">
        <v>245</v>
      </c>
      <c r="T9" s="237" t="s">
        <v>4</v>
      </c>
      <c r="U9" s="237" t="s">
        <v>155</v>
      </c>
      <c r="V9" s="237" t="s">
        <v>108</v>
      </c>
      <c r="W9" s="237" t="s">
        <v>246</v>
      </c>
      <c r="X9" s="237" t="s">
        <v>247</v>
      </c>
      <c r="Y9" s="355" t="s">
        <v>40</v>
      </c>
      <c r="Z9" s="357" t="s">
        <v>41</v>
      </c>
      <c r="AA9" s="392"/>
      <c r="AB9" s="392"/>
      <c r="AC9" s="392"/>
      <c r="AD9" s="213"/>
      <c r="AE9" s="213"/>
      <c r="AF9" s="213"/>
      <c r="AG9" s="213"/>
      <c r="AH9" s="213"/>
      <c r="AI9" s="213"/>
      <c r="AJ9" s="213"/>
      <c r="AK9" s="213"/>
      <c r="AL9" s="213"/>
      <c r="AM9" s="213"/>
      <c r="AN9" s="213"/>
      <c r="AO9" s="213"/>
      <c r="AP9" s="213"/>
      <c r="AQ9" s="213"/>
      <c r="AR9" s="172"/>
      <c r="AS9" s="172"/>
      <c r="AT9" s="172"/>
      <c r="AU9" s="172"/>
      <c r="AV9" s="172"/>
      <c r="AW9" s="172"/>
      <c r="AX9" s="172"/>
    </row>
    <row r="10" spans="1:55" s="172" customFormat="1" ht="21.75" customHeight="1">
      <c r="A10" s="247">
        <v>1</v>
      </c>
      <c r="B10" s="249" t="s">
        <v>13</v>
      </c>
      <c r="C10" s="239">
        <v>4986.99</v>
      </c>
      <c r="D10" s="239">
        <v>733.71</v>
      </c>
      <c r="E10" s="239">
        <v>212.44</v>
      </c>
      <c r="F10" s="239">
        <v>1629.42</v>
      </c>
      <c r="G10" s="453">
        <f>+F10/F13</f>
        <v>0.9276621424667517</v>
      </c>
      <c r="H10" s="239">
        <v>341.08</v>
      </c>
      <c r="I10" s="239">
        <v>178.42</v>
      </c>
      <c r="J10" s="239">
        <v>130.83</v>
      </c>
      <c r="K10" s="239"/>
      <c r="L10" s="239"/>
      <c r="M10" s="239"/>
      <c r="N10" s="239"/>
      <c r="O10" s="239">
        <v>92.68</v>
      </c>
      <c r="P10" s="239">
        <v>62.7</v>
      </c>
      <c r="Q10" s="239">
        <v>180.9</v>
      </c>
      <c r="R10" s="238"/>
      <c r="S10" s="238"/>
      <c r="T10" s="238">
        <f>SUM(K10:S10)</f>
        <v>336.28</v>
      </c>
      <c r="U10" s="239">
        <v>244.41</v>
      </c>
      <c r="V10" s="239">
        <v>148.09</v>
      </c>
      <c r="W10" s="238"/>
      <c r="X10" s="238"/>
      <c r="Y10" s="336">
        <v>28.68</v>
      </c>
      <c r="Z10" s="358">
        <f>SUM(C10:Y10)-T10</f>
        <v>8971.277662142467</v>
      </c>
      <c r="AA10" s="285"/>
      <c r="AB10" s="285">
        <f>'MARCH -15 final result'!H18</f>
        <v>12579.64</v>
      </c>
      <c r="AC10" s="285">
        <f>+AB10-Z10</f>
        <v>3608.362337857532</v>
      </c>
      <c r="AD10" s="212">
        <f>'[4]DEC -14 final result'!J18</f>
        <v>12503.77</v>
      </c>
      <c r="AE10" s="212">
        <f>+Z10-AD10</f>
        <v>-3532.492337857533</v>
      </c>
      <c r="AF10" s="212">
        <f>'[4]DEC -14 final result'!H18</f>
        <v>8962.17</v>
      </c>
      <c r="AG10" s="212">
        <f>+Z10-AF10</f>
        <v>9.107662142467234</v>
      </c>
      <c r="AH10" s="213"/>
      <c r="AI10" s="213"/>
      <c r="AJ10" s="213"/>
      <c r="AK10" s="212"/>
      <c r="AL10" s="212"/>
      <c r="AM10" s="213"/>
      <c r="AN10" s="213"/>
      <c r="AO10" s="213"/>
      <c r="AP10" s="213"/>
      <c r="AQ10" s="213"/>
      <c r="AV10" s="210"/>
      <c r="BB10" s="210" t="s">
        <v>12</v>
      </c>
      <c r="BC10" s="172" t="s">
        <v>12</v>
      </c>
    </row>
    <row r="11" spans="1:48" s="172" customFormat="1" ht="21.75" customHeight="1">
      <c r="A11" s="247">
        <v>2</v>
      </c>
      <c r="B11" s="249" t="s">
        <v>71</v>
      </c>
      <c r="C11" s="239">
        <v>241.82</v>
      </c>
      <c r="D11" s="239">
        <v>104.69</v>
      </c>
      <c r="E11" s="239">
        <v>1.16</v>
      </c>
      <c r="F11" s="239">
        <v>124.84</v>
      </c>
      <c r="G11" s="453">
        <f>+F11/F13</f>
        <v>0.07107396611404627</v>
      </c>
      <c r="H11" s="239">
        <v>2.75</v>
      </c>
      <c r="I11" s="239">
        <v>1.4</v>
      </c>
      <c r="J11" s="239">
        <v>4.32</v>
      </c>
      <c r="K11" s="238"/>
      <c r="L11" s="239"/>
      <c r="M11" s="238"/>
      <c r="N11" s="239"/>
      <c r="O11" s="239">
        <v>0.57</v>
      </c>
      <c r="P11" s="239">
        <v>0.04</v>
      </c>
      <c r="Q11" s="239">
        <v>4.35</v>
      </c>
      <c r="R11" s="238"/>
      <c r="S11" s="238"/>
      <c r="T11" s="238">
        <f>SUM(K11:S11)</f>
        <v>4.96</v>
      </c>
      <c r="U11" s="238"/>
      <c r="V11" s="238"/>
      <c r="W11" s="238"/>
      <c r="X11" s="238"/>
      <c r="Y11" s="336">
        <f>65.25+0.03</f>
        <v>65.28</v>
      </c>
      <c r="Z11" s="358">
        <f>SUM(C11:Y11)-T11</f>
        <v>551.291073966114</v>
      </c>
      <c r="AA11" s="285"/>
      <c r="AB11" s="285">
        <f>'MARCH -15 final result'!H19</f>
        <v>751.65</v>
      </c>
      <c r="AC11" s="285">
        <f>+AB11-Z11</f>
        <v>200.35892603388595</v>
      </c>
      <c r="AD11" s="212">
        <f>'[4]DEC -14 final result'!J19</f>
        <v>901.99</v>
      </c>
      <c r="AE11" s="212">
        <f aca="true" t="shared" si="0" ref="AE11:AE26">+Z11-AD11</f>
        <v>-350.698926033886</v>
      </c>
      <c r="AF11" s="212">
        <f>'[4]DEC -14 final result'!H19</f>
        <v>560.91</v>
      </c>
      <c r="AG11" s="212">
        <f aca="true" t="shared" si="1" ref="AG11:AG25">+Z11-AF11</f>
        <v>-9.618926033885941</v>
      </c>
      <c r="AH11" s="213"/>
      <c r="AI11" s="213"/>
      <c r="AJ11" s="213"/>
      <c r="AK11" s="212"/>
      <c r="AL11" s="212"/>
      <c r="AM11" s="213"/>
      <c r="AN11" s="213"/>
      <c r="AO11" s="213"/>
      <c r="AP11" s="213"/>
      <c r="AQ11" s="213"/>
      <c r="AV11" s="210"/>
    </row>
    <row r="12" spans="1:54" s="172" customFormat="1" ht="21.75" customHeight="1">
      <c r="A12" s="247">
        <v>3</v>
      </c>
      <c r="B12" s="249" t="s">
        <v>14</v>
      </c>
      <c r="C12" s="239">
        <v>8.23</v>
      </c>
      <c r="D12" s="239">
        <v>7E-05</v>
      </c>
      <c r="E12" s="239">
        <v>0.31</v>
      </c>
      <c r="F12" s="239">
        <v>2.22</v>
      </c>
      <c r="G12" s="453">
        <f>+F12/F13</f>
        <v>0.0012638914192020405</v>
      </c>
      <c r="H12" s="239">
        <v>-0.9</v>
      </c>
      <c r="I12" s="239">
        <v>0.24</v>
      </c>
      <c r="J12" s="239"/>
      <c r="K12" s="239"/>
      <c r="L12" s="239">
        <v>0.01</v>
      </c>
      <c r="M12" s="239"/>
      <c r="N12" s="239">
        <v>0.17</v>
      </c>
      <c r="O12" s="239">
        <v>0.14</v>
      </c>
      <c r="P12" s="239">
        <v>0.04</v>
      </c>
      <c r="Q12" s="239">
        <v>0.09</v>
      </c>
      <c r="R12" s="238"/>
      <c r="S12" s="238"/>
      <c r="T12" s="238">
        <f>SUM(K12:S12)</f>
        <v>0.45000000000000007</v>
      </c>
      <c r="U12" s="239">
        <v>6.4</v>
      </c>
      <c r="V12" s="238">
        <v>3.25</v>
      </c>
      <c r="W12" s="238"/>
      <c r="X12" s="238"/>
      <c r="Y12" s="336">
        <f>473.8-0.02</f>
        <v>473.78000000000003</v>
      </c>
      <c r="Z12" s="360">
        <f>SUM(C12:Y12)-T12</f>
        <v>493.98133389141924</v>
      </c>
      <c r="AA12" s="285"/>
      <c r="AB12" s="285">
        <f>'MARCH -15 final result'!H29</f>
        <v>599.34</v>
      </c>
      <c r="AC12" s="285">
        <f>+AB12-Z12</f>
        <v>105.35866610858079</v>
      </c>
      <c r="AD12" s="212">
        <f>'[4]DEC -14 final result'!J29</f>
        <v>2273.3</v>
      </c>
      <c r="AE12" s="212">
        <f t="shared" si="0"/>
        <v>-1779.318666108581</v>
      </c>
      <c r="AF12" s="212">
        <f>'[4]DEC -14 final result'!H29</f>
        <v>494.48</v>
      </c>
      <c r="AG12" s="212">
        <f t="shared" si="1"/>
        <v>-0.4986661085807782</v>
      </c>
      <c r="AH12" s="213"/>
      <c r="AI12" s="213"/>
      <c r="AJ12" s="213"/>
      <c r="AK12" s="212"/>
      <c r="AL12" s="212"/>
      <c r="AM12" s="213"/>
      <c r="AN12" s="213"/>
      <c r="AO12" s="213"/>
      <c r="AP12" s="213"/>
      <c r="AQ12" s="213"/>
      <c r="AU12" s="172" t="s">
        <v>12</v>
      </c>
      <c r="AV12" s="210"/>
      <c r="BB12" s="210">
        <f>+Z12-1405.54</f>
        <v>-911.5586661085807</v>
      </c>
    </row>
    <row r="13" spans="1:54" ht="21.75" customHeight="1">
      <c r="A13" s="247">
        <v>4</v>
      </c>
      <c r="B13" s="250" t="s">
        <v>18</v>
      </c>
      <c r="C13" s="239">
        <f>+C11+C10+C12</f>
        <v>5237.039999999999</v>
      </c>
      <c r="D13" s="239">
        <f aca="true" t="shared" si="2" ref="D13:AF13">+D11+D10+D12</f>
        <v>838.4000700000001</v>
      </c>
      <c r="E13" s="239">
        <f t="shared" si="2"/>
        <v>213.91</v>
      </c>
      <c r="F13" s="239">
        <f t="shared" si="2"/>
        <v>1756.48</v>
      </c>
      <c r="G13" s="453">
        <f t="shared" si="2"/>
        <v>1</v>
      </c>
      <c r="H13" s="239">
        <f t="shared" si="2"/>
        <v>342.93</v>
      </c>
      <c r="I13" s="239">
        <f t="shared" si="2"/>
        <v>180.06</v>
      </c>
      <c r="J13" s="239">
        <f t="shared" si="2"/>
        <v>135.15</v>
      </c>
      <c r="K13" s="239">
        <f t="shared" si="2"/>
        <v>0</v>
      </c>
      <c r="L13" s="239">
        <f t="shared" si="2"/>
        <v>0.01</v>
      </c>
      <c r="M13" s="239">
        <f t="shared" si="2"/>
        <v>0</v>
      </c>
      <c r="N13" s="239">
        <f t="shared" si="2"/>
        <v>0.17</v>
      </c>
      <c r="O13" s="239">
        <f t="shared" si="2"/>
        <v>93.39</v>
      </c>
      <c r="P13" s="239">
        <f t="shared" si="2"/>
        <v>62.78</v>
      </c>
      <c r="Q13" s="239">
        <f t="shared" si="2"/>
        <v>185.34</v>
      </c>
      <c r="R13" s="239">
        <f t="shared" si="2"/>
        <v>0</v>
      </c>
      <c r="S13" s="239">
        <f t="shared" si="2"/>
        <v>0</v>
      </c>
      <c r="T13" s="239">
        <f t="shared" si="2"/>
        <v>341.68999999999994</v>
      </c>
      <c r="U13" s="239">
        <f t="shared" si="2"/>
        <v>250.81</v>
      </c>
      <c r="V13" s="239">
        <f t="shared" si="2"/>
        <v>151.34</v>
      </c>
      <c r="W13" s="239">
        <f t="shared" si="2"/>
        <v>0</v>
      </c>
      <c r="X13" s="239">
        <f t="shared" si="2"/>
        <v>0</v>
      </c>
      <c r="Y13" s="336">
        <f t="shared" si="2"/>
        <v>567.74</v>
      </c>
      <c r="Z13" s="361">
        <f t="shared" si="2"/>
        <v>10016.550070000001</v>
      </c>
      <c r="AA13" s="409"/>
      <c r="AB13" s="404">
        <f t="shared" si="2"/>
        <v>13930.63</v>
      </c>
      <c r="AC13" s="285">
        <f>+AB13-Z13</f>
        <v>3914.079929999998</v>
      </c>
      <c r="AD13" s="387">
        <f t="shared" si="2"/>
        <v>15679.060000000001</v>
      </c>
      <c r="AE13" s="212">
        <f t="shared" si="0"/>
        <v>-5662.50993</v>
      </c>
      <c r="AF13" s="361">
        <f t="shared" si="2"/>
        <v>10017.56</v>
      </c>
      <c r="AG13" s="212">
        <f t="shared" si="1"/>
        <v>-1.0099299999983486</v>
      </c>
      <c r="AH13" s="213"/>
      <c r="AI13" s="213"/>
      <c r="AJ13" s="213"/>
      <c r="AK13" s="190"/>
      <c r="AL13" s="212"/>
      <c r="AM13" s="213"/>
      <c r="AN13" s="213"/>
      <c r="AO13" s="213"/>
      <c r="AP13" s="213"/>
      <c r="AQ13" s="213"/>
      <c r="AR13" s="172"/>
      <c r="AS13" s="172"/>
      <c r="AT13" s="172"/>
      <c r="AU13" s="210" t="s">
        <v>12</v>
      </c>
      <c r="AV13" s="172"/>
      <c r="AW13" s="172"/>
      <c r="AX13" s="172"/>
      <c r="BB13" s="13" t="s">
        <v>12</v>
      </c>
    </row>
    <row r="14" spans="1:54" ht="21.75" customHeight="1">
      <c r="A14" s="247">
        <v>5</v>
      </c>
      <c r="B14" s="251" t="s">
        <v>34</v>
      </c>
      <c r="C14" s="252"/>
      <c r="D14" s="252"/>
      <c r="E14" s="252"/>
      <c r="F14" s="252" t="s">
        <v>12</v>
      </c>
      <c r="G14" s="252"/>
      <c r="H14" s="249"/>
      <c r="I14" s="249"/>
      <c r="J14" s="249"/>
      <c r="K14" s="249"/>
      <c r="L14" s="249"/>
      <c r="M14" s="249"/>
      <c r="N14" s="249"/>
      <c r="O14" s="249"/>
      <c r="P14" s="249"/>
      <c r="Q14" s="249"/>
      <c r="R14" s="249"/>
      <c r="S14" s="249"/>
      <c r="T14" s="249"/>
      <c r="U14" s="249"/>
      <c r="V14" s="249"/>
      <c r="W14" s="249"/>
      <c r="X14" s="249"/>
      <c r="Y14" s="337"/>
      <c r="Z14" s="388"/>
      <c r="AA14" s="397"/>
      <c r="AB14" s="397"/>
      <c r="AC14" s="397"/>
      <c r="AD14" s="213"/>
      <c r="AE14" s="212">
        <f t="shared" si="0"/>
        <v>0</v>
      </c>
      <c r="AF14" s="213"/>
      <c r="AG14" s="213"/>
      <c r="AH14" s="213"/>
      <c r="AI14" s="213"/>
      <c r="AJ14" s="213"/>
      <c r="AK14" s="213"/>
      <c r="AL14" s="213"/>
      <c r="AM14" s="213"/>
      <c r="AN14" s="213"/>
      <c r="AO14" s="213"/>
      <c r="AP14" s="213"/>
      <c r="AQ14" s="213"/>
      <c r="AR14" s="172"/>
      <c r="AS14" s="172"/>
      <c r="AT14" s="172"/>
      <c r="AU14" s="172"/>
      <c r="AV14" s="172"/>
      <c r="AW14" s="172"/>
      <c r="AX14" s="172"/>
      <c r="BB14" s="144" t="s">
        <v>12</v>
      </c>
    </row>
    <row r="15" spans="1:50" ht="21.75" customHeight="1">
      <c r="A15" s="247" t="s">
        <v>21</v>
      </c>
      <c r="B15" s="249" t="s">
        <v>28</v>
      </c>
      <c r="C15" s="238">
        <v>389.93</v>
      </c>
      <c r="D15" s="238">
        <v>122.39</v>
      </c>
      <c r="E15" s="238">
        <v>48.51</v>
      </c>
      <c r="F15" s="238">
        <v>205.75</v>
      </c>
      <c r="G15" s="452">
        <f>+F15/$F$13</f>
        <v>0.11713768445982875</v>
      </c>
      <c r="H15" s="238">
        <v>92.26</v>
      </c>
      <c r="I15" s="238">
        <v>27.43</v>
      </c>
      <c r="J15" s="238">
        <v>10.56</v>
      </c>
      <c r="K15" s="238"/>
      <c r="L15" s="238"/>
      <c r="M15" s="238"/>
      <c r="N15" s="238"/>
      <c r="O15" s="238">
        <v>25.7</v>
      </c>
      <c r="P15" s="238">
        <v>17.22</v>
      </c>
      <c r="Q15" s="238">
        <v>44.83</v>
      </c>
      <c r="R15" s="238"/>
      <c r="S15" s="238"/>
      <c r="T15" s="238">
        <f>SUM(K15:S15)</f>
        <v>87.75</v>
      </c>
      <c r="U15" s="238"/>
      <c r="V15" s="238"/>
      <c r="W15" s="238"/>
      <c r="X15" s="238"/>
      <c r="Y15" s="335"/>
      <c r="Z15" s="358">
        <f>SUM(C15:Y15)-T15</f>
        <v>984.6971376844599</v>
      </c>
      <c r="AA15" s="398"/>
      <c r="AB15" s="398">
        <f>'MARCH -15 final result'!H22</f>
        <v>1263.95</v>
      </c>
      <c r="AC15" s="398"/>
      <c r="AD15" s="212">
        <f>'[4]DEC -14 final result'!J22</f>
        <v>1371.68</v>
      </c>
      <c r="AE15" s="212">
        <f t="shared" si="0"/>
        <v>-386.98286231554016</v>
      </c>
      <c r="AF15" s="212">
        <f>'[4]DEC -14 final result'!H22</f>
        <v>984.54</v>
      </c>
      <c r="AG15" s="212">
        <f t="shared" si="1"/>
        <v>0.15713768445993992</v>
      </c>
      <c r="AH15" s="213"/>
      <c r="AI15" s="213"/>
      <c r="AJ15" s="213"/>
      <c r="AK15" s="212"/>
      <c r="AL15" s="212"/>
      <c r="AM15" s="213"/>
      <c r="AN15" s="213"/>
      <c r="AO15" s="213"/>
      <c r="AP15" s="213"/>
      <c r="AQ15" s="213"/>
      <c r="AR15" s="172"/>
      <c r="AS15" s="172"/>
      <c r="AT15" s="172"/>
      <c r="AU15" s="210" t="s">
        <v>12</v>
      </c>
      <c r="AV15" s="210"/>
      <c r="AW15" s="172"/>
      <c r="AX15" s="172"/>
    </row>
    <row r="16" spans="1:50" ht="21.75" customHeight="1">
      <c r="A16" s="247" t="s">
        <v>22</v>
      </c>
      <c r="B16" s="249" t="s">
        <v>25</v>
      </c>
      <c r="C16" s="238">
        <v>969.23</v>
      </c>
      <c r="D16" s="238">
        <v>168.16</v>
      </c>
      <c r="E16" s="238">
        <v>52.66</v>
      </c>
      <c r="F16" s="238">
        <v>435.35</v>
      </c>
      <c r="G16" s="452">
        <f aca="true" t="shared" si="3" ref="G16:G26">+F16/$F$13</f>
        <v>0.24785366186919294</v>
      </c>
      <c r="H16" s="238">
        <v>91.11</v>
      </c>
      <c r="I16" s="238">
        <v>43.07</v>
      </c>
      <c r="J16" s="238">
        <v>43.99</v>
      </c>
      <c r="K16" s="238"/>
      <c r="L16" s="238">
        <v>0.21</v>
      </c>
      <c r="M16" s="238"/>
      <c r="N16" s="238">
        <v>-0.03</v>
      </c>
      <c r="O16" s="238">
        <v>23.44</v>
      </c>
      <c r="P16" s="238">
        <v>17.91</v>
      </c>
      <c r="Q16" s="238">
        <v>37.95</v>
      </c>
      <c r="R16" s="238"/>
      <c r="S16" s="238"/>
      <c r="T16" s="238">
        <f>SUM(K16:S16)</f>
        <v>79.48</v>
      </c>
      <c r="U16" s="238">
        <v>7.81</v>
      </c>
      <c r="V16" s="238">
        <v>77.05</v>
      </c>
      <c r="W16" s="238"/>
      <c r="X16" s="238"/>
      <c r="Y16" s="335">
        <v>391.15</v>
      </c>
      <c r="Z16" s="358">
        <f>SUM(C16:Y16)-T16</f>
        <v>2359.307853661869</v>
      </c>
      <c r="AA16" s="398"/>
      <c r="AB16" s="398">
        <f>'MARCH -15 final result'!H23</f>
        <v>3220.44</v>
      </c>
      <c r="AC16" s="398"/>
      <c r="AD16" s="212">
        <f>'[4]DEC -14 final result'!J23</f>
        <v>3269.46</v>
      </c>
      <c r="AE16" s="212">
        <f t="shared" si="0"/>
        <v>-910.1521463381309</v>
      </c>
      <c r="AF16" s="212">
        <f>'[4]DEC -14 final result'!H23</f>
        <v>2392.05</v>
      </c>
      <c r="AG16" s="212">
        <f t="shared" si="1"/>
        <v>-32.74214633813108</v>
      </c>
      <c r="AH16" s="213"/>
      <c r="AI16" s="213"/>
      <c r="AJ16" s="213"/>
      <c r="AK16" s="212"/>
      <c r="AL16" s="212"/>
      <c r="AM16" s="213"/>
      <c r="AN16" s="213"/>
      <c r="AO16" s="213"/>
      <c r="AP16" s="213"/>
      <c r="AQ16" s="213"/>
      <c r="AR16" s="172"/>
      <c r="AS16" s="172"/>
      <c r="AT16" s="172"/>
      <c r="AU16" s="210" t="s">
        <v>12</v>
      </c>
      <c r="AV16" s="210"/>
      <c r="AW16" s="172"/>
      <c r="AX16" s="172"/>
    </row>
    <row r="17" spans="1:50" ht="21.75" customHeight="1">
      <c r="A17" s="247" t="s">
        <v>23</v>
      </c>
      <c r="B17" s="249" t="s">
        <v>26</v>
      </c>
      <c r="C17" s="238">
        <v>579.31</v>
      </c>
      <c r="D17" s="238">
        <v>94.46</v>
      </c>
      <c r="E17" s="238">
        <v>21.59</v>
      </c>
      <c r="F17" s="238">
        <v>425.38</v>
      </c>
      <c r="G17" s="452">
        <f t="shared" si="3"/>
        <v>0.24217753689196575</v>
      </c>
      <c r="H17" s="238">
        <v>36.15</v>
      </c>
      <c r="I17" s="238">
        <v>13.39</v>
      </c>
      <c r="J17" s="238">
        <v>6.47</v>
      </c>
      <c r="K17" s="238"/>
      <c r="L17" s="238"/>
      <c r="M17" s="238"/>
      <c r="N17" s="238"/>
      <c r="O17" s="238">
        <v>12.99</v>
      </c>
      <c r="P17" s="238">
        <v>8.54</v>
      </c>
      <c r="Q17" s="238">
        <v>15.35</v>
      </c>
      <c r="R17" s="238"/>
      <c r="S17" s="238"/>
      <c r="T17" s="238">
        <f>SUM(K17:S17)</f>
        <v>36.88</v>
      </c>
      <c r="U17" s="238"/>
      <c r="V17" s="238"/>
      <c r="W17" s="238"/>
      <c r="X17" s="238"/>
      <c r="Y17" s="335">
        <f>-2.66+0.01</f>
        <v>-2.6500000000000004</v>
      </c>
      <c r="Z17" s="358">
        <f>SUM(C17:Y17)-T17</f>
        <v>1211.2221775368919</v>
      </c>
      <c r="AA17" s="398"/>
      <c r="AB17" s="398">
        <f>'MARCH -15 final result'!H24</f>
        <v>1557.6</v>
      </c>
      <c r="AC17" s="398"/>
      <c r="AD17" s="212">
        <f>'[4]DEC -14 final result'!J24</f>
        <v>1523.25</v>
      </c>
      <c r="AE17" s="212">
        <f t="shared" si="0"/>
        <v>-312.0278224631081</v>
      </c>
      <c r="AF17" s="212">
        <f>'[4]DEC -14 final result'!H24</f>
        <v>1211.16</v>
      </c>
      <c r="AG17" s="212">
        <f t="shared" si="1"/>
        <v>0.06217753689179517</v>
      </c>
      <c r="AH17" s="213"/>
      <c r="AI17" s="213"/>
      <c r="AJ17" s="213"/>
      <c r="AK17" s="212"/>
      <c r="AL17" s="212"/>
      <c r="AM17" s="213"/>
      <c r="AN17" s="213"/>
      <c r="AO17" s="213"/>
      <c r="AP17" s="213"/>
      <c r="AQ17" s="213"/>
      <c r="AR17" s="172"/>
      <c r="AS17" s="172"/>
      <c r="AT17" s="172"/>
      <c r="AU17" s="172"/>
      <c r="AV17" s="210"/>
      <c r="AW17" s="172"/>
      <c r="AX17" s="172"/>
    </row>
    <row r="18" spans="1:57" ht="21.75" customHeight="1">
      <c r="A18" s="247" t="s">
        <v>24</v>
      </c>
      <c r="B18" s="249" t="s">
        <v>27</v>
      </c>
      <c r="C18" s="238">
        <v>1214.46</v>
      </c>
      <c r="D18" s="238">
        <f>281.12</f>
        <v>281.12</v>
      </c>
      <c r="E18" s="238">
        <v>56.68</v>
      </c>
      <c r="F18" s="238">
        <v>487.09</v>
      </c>
      <c r="G18" s="452">
        <f t="shared" si="3"/>
        <v>0.27731030242302784</v>
      </c>
      <c r="H18" s="238">
        <v>56.28</v>
      </c>
      <c r="I18" s="238">
        <v>37.32</v>
      </c>
      <c r="J18" s="238">
        <v>33.28</v>
      </c>
      <c r="K18" s="238"/>
      <c r="L18" s="238">
        <v>0.05</v>
      </c>
      <c r="M18" s="238"/>
      <c r="N18" s="238">
        <v>0.57</v>
      </c>
      <c r="O18" s="238">
        <v>17.39</v>
      </c>
      <c r="P18" s="238">
        <v>15.3</v>
      </c>
      <c r="Q18" s="238">
        <v>32.38</v>
      </c>
      <c r="R18" s="238"/>
      <c r="S18" s="238"/>
      <c r="T18" s="238">
        <f>SUM(K18:S18)</f>
        <v>65.69</v>
      </c>
      <c r="U18" s="238">
        <v>77.16</v>
      </c>
      <c r="V18" s="238">
        <v>21.54</v>
      </c>
      <c r="W18" s="238"/>
      <c r="X18" s="238"/>
      <c r="Y18" s="335">
        <v>216.39</v>
      </c>
      <c r="Z18" s="358">
        <f>SUM(C18:Y18)-T18</f>
        <v>2547.2873103024235</v>
      </c>
      <c r="AA18" s="285"/>
      <c r="AB18" s="398">
        <f>'MARCH -15 final result'!H25</f>
        <v>1837.84</v>
      </c>
      <c r="AC18" s="398"/>
      <c r="AD18" s="212">
        <f>'[4]DEC -14 final result'!J26</f>
        <v>3346.3199999999997</v>
      </c>
      <c r="AE18" s="212">
        <f t="shared" si="0"/>
        <v>-799.0326896975762</v>
      </c>
      <c r="AF18" s="212">
        <f>'[4]DEC -14 final result'!H26</f>
        <v>2522.13</v>
      </c>
      <c r="AG18" s="212">
        <f t="shared" si="1"/>
        <v>25.15731030242341</v>
      </c>
      <c r="AH18" s="213"/>
      <c r="AI18" s="213"/>
      <c r="AJ18" s="213"/>
      <c r="AK18" s="212"/>
      <c r="AL18" s="212"/>
      <c r="AM18" s="212"/>
      <c r="AN18" s="212"/>
      <c r="AO18" s="213"/>
      <c r="AP18" s="213"/>
      <c r="AQ18" s="213"/>
      <c r="AR18" s="172"/>
      <c r="AS18" s="172"/>
      <c r="AT18" s="172"/>
      <c r="AU18" s="219" t="s">
        <v>12</v>
      </c>
      <c r="AV18" s="210" t="s">
        <v>12</v>
      </c>
      <c r="AW18" s="210"/>
      <c r="AX18" s="172"/>
      <c r="BB18" s="284"/>
      <c r="BC18" s="189"/>
      <c r="BD18" s="189"/>
      <c r="BE18" s="189"/>
    </row>
    <row r="19" spans="1:57" ht="21.75" customHeight="1">
      <c r="A19" s="247"/>
      <c r="B19" s="250" t="s">
        <v>164</v>
      </c>
      <c r="C19" s="239">
        <f aca="true" t="shared" si="4" ref="C19:AF19">SUM(C15:C18)</f>
        <v>3152.9300000000003</v>
      </c>
      <c r="D19" s="239">
        <f t="shared" si="4"/>
        <v>666.13</v>
      </c>
      <c r="E19" s="239">
        <f t="shared" si="4"/>
        <v>179.44</v>
      </c>
      <c r="F19" s="239">
        <f t="shared" si="4"/>
        <v>1553.57</v>
      </c>
      <c r="G19" s="452">
        <f t="shared" si="3"/>
        <v>0.8844791856440153</v>
      </c>
      <c r="H19" s="239">
        <f t="shared" si="4"/>
        <v>275.8</v>
      </c>
      <c r="I19" s="239">
        <f t="shared" si="4"/>
        <v>121.21000000000001</v>
      </c>
      <c r="J19" s="239">
        <f t="shared" si="4"/>
        <v>94.30000000000001</v>
      </c>
      <c r="K19" s="239">
        <f t="shared" si="4"/>
        <v>0</v>
      </c>
      <c r="L19" s="239">
        <f t="shared" si="4"/>
        <v>0.26</v>
      </c>
      <c r="M19" s="239">
        <f t="shared" si="4"/>
        <v>0</v>
      </c>
      <c r="N19" s="239">
        <f t="shared" si="4"/>
        <v>0.5399999999999999</v>
      </c>
      <c r="O19" s="239">
        <f t="shared" si="4"/>
        <v>79.52000000000001</v>
      </c>
      <c r="P19" s="239">
        <f t="shared" si="4"/>
        <v>58.97</v>
      </c>
      <c r="Q19" s="239">
        <f t="shared" si="4"/>
        <v>130.51</v>
      </c>
      <c r="R19" s="239">
        <f t="shared" si="4"/>
        <v>0</v>
      </c>
      <c r="S19" s="239">
        <f t="shared" si="4"/>
        <v>0</v>
      </c>
      <c r="T19" s="239">
        <f t="shared" si="4"/>
        <v>269.8</v>
      </c>
      <c r="U19" s="239">
        <f t="shared" si="4"/>
        <v>84.97</v>
      </c>
      <c r="V19" s="239">
        <f t="shared" si="4"/>
        <v>98.59</v>
      </c>
      <c r="W19" s="239">
        <f t="shared" si="4"/>
        <v>0</v>
      </c>
      <c r="X19" s="239">
        <f t="shared" si="4"/>
        <v>0</v>
      </c>
      <c r="Y19" s="336">
        <f t="shared" si="4"/>
        <v>604.89</v>
      </c>
      <c r="Z19" s="359">
        <f t="shared" si="4"/>
        <v>7102.514479185644</v>
      </c>
      <c r="AA19" s="387"/>
      <c r="AB19" s="405">
        <f>SUM(AB15:AB18)</f>
        <v>7879.83</v>
      </c>
      <c r="AC19" s="359">
        <f>SUM(AC15:AC18)</f>
        <v>0</v>
      </c>
      <c r="AD19" s="359">
        <f t="shared" si="4"/>
        <v>9510.71</v>
      </c>
      <c r="AE19" s="212">
        <f t="shared" si="0"/>
        <v>-2408.1955208143554</v>
      </c>
      <c r="AF19" s="359">
        <f t="shared" si="4"/>
        <v>7109.88</v>
      </c>
      <c r="AG19" s="212">
        <f t="shared" si="1"/>
        <v>-7.365520814356387</v>
      </c>
      <c r="AH19" s="213"/>
      <c r="AI19" s="213"/>
      <c r="AJ19" s="213"/>
      <c r="AK19" s="190"/>
      <c r="AL19" s="212"/>
      <c r="AM19" s="212"/>
      <c r="AN19" s="213"/>
      <c r="AO19" s="213"/>
      <c r="AP19" s="213"/>
      <c r="AQ19" s="213"/>
      <c r="AR19" s="172"/>
      <c r="AS19" s="172"/>
      <c r="AT19" s="172"/>
      <c r="AU19" s="172"/>
      <c r="AV19" s="172"/>
      <c r="AW19" s="172"/>
      <c r="AX19" s="172"/>
      <c r="BB19" s="189"/>
      <c r="BC19" s="189"/>
      <c r="BD19" s="189"/>
      <c r="BE19" s="189"/>
    </row>
    <row r="20" spans="1:57" ht="21.75" customHeight="1">
      <c r="A20" s="247">
        <v>6</v>
      </c>
      <c r="B20" s="249" t="s">
        <v>244</v>
      </c>
      <c r="C20" s="238">
        <f>+C13-C19</f>
        <v>2084.1099999999988</v>
      </c>
      <c r="D20" s="238">
        <f aca="true" t="shared" si="5" ref="D20:AF20">+D13-D19</f>
        <v>172.27007000000015</v>
      </c>
      <c r="E20" s="238">
        <f t="shared" si="5"/>
        <v>34.47</v>
      </c>
      <c r="F20" s="238">
        <f t="shared" si="5"/>
        <v>202.91000000000008</v>
      </c>
      <c r="G20" s="452">
        <f t="shared" si="3"/>
        <v>0.11552081435598474</v>
      </c>
      <c r="H20" s="238">
        <f t="shared" si="5"/>
        <v>67.13</v>
      </c>
      <c r="I20" s="238">
        <f t="shared" si="5"/>
        <v>58.849999999999994</v>
      </c>
      <c r="J20" s="238">
        <f t="shared" si="5"/>
        <v>40.849999999999994</v>
      </c>
      <c r="K20" s="238">
        <f t="shared" si="5"/>
        <v>0</v>
      </c>
      <c r="L20" s="238">
        <f t="shared" si="5"/>
        <v>-0.25</v>
      </c>
      <c r="M20" s="238">
        <f t="shared" si="5"/>
        <v>0</v>
      </c>
      <c r="N20" s="238">
        <f t="shared" si="5"/>
        <v>-0.3699999999999999</v>
      </c>
      <c r="O20" s="238">
        <f t="shared" si="5"/>
        <v>13.86999999999999</v>
      </c>
      <c r="P20" s="238">
        <f t="shared" si="5"/>
        <v>3.8100000000000023</v>
      </c>
      <c r="Q20" s="238">
        <f t="shared" si="5"/>
        <v>54.83000000000001</v>
      </c>
      <c r="R20" s="238">
        <f t="shared" si="5"/>
        <v>0</v>
      </c>
      <c r="S20" s="238">
        <f t="shared" si="5"/>
        <v>0</v>
      </c>
      <c r="T20" s="238">
        <f t="shared" si="5"/>
        <v>71.88999999999993</v>
      </c>
      <c r="U20" s="238">
        <f t="shared" si="5"/>
        <v>165.84</v>
      </c>
      <c r="V20" s="238">
        <f t="shared" si="5"/>
        <v>52.75</v>
      </c>
      <c r="W20" s="238">
        <f t="shared" si="5"/>
        <v>0</v>
      </c>
      <c r="X20" s="238">
        <f t="shared" si="5"/>
        <v>0</v>
      </c>
      <c r="Y20" s="335">
        <f t="shared" si="5"/>
        <v>-37.14999999999998</v>
      </c>
      <c r="Z20" s="358">
        <f t="shared" si="5"/>
        <v>2914.0355908143574</v>
      </c>
      <c r="AA20" s="285"/>
      <c r="AB20" s="406">
        <f>+AB13-AB19</f>
        <v>6050.799999999999</v>
      </c>
      <c r="AC20" s="358">
        <f>+AC13-AC19</f>
        <v>3914.079929999998</v>
      </c>
      <c r="AD20" s="358">
        <f t="shared" si="5"/>
        <v>6168.350000000002</v>
      </c>
      <c r="AE20" s="212">
        <f t="shared" si="0"/>
        <v>-3254.3144091856448</v>
      </c>
      <c r="AF20" s="358">
        <f t="shared" si="5"/>
        <v>2907.6799999999994</v>
      </c>
      <c r="AG20" s="212">
        <f t="shared" si="1"/>
        <v>6.355590814358038</v>
      </c>
      <c r="AH20" s="213"/>
      <c r="AI20" s="213"/>
      <c r="AJ20" s="213"/>
      <c r="AK20" s="191"/>
      <c r="AL20" s="212"/>
      <c r="AM20" s="212"/>
      <c r="AN20" s="213"/>
      <c r="AO20" s="213"/>
      <c r="AP20" s="213"/>
      <c r="AQ20" s="213"/>
      <c r="AR20" s="172"/>
      <c r="AS20" s="172"/>
      <c r="AT20" s="172"/>
      <c r="AU20" s="172"/>
      <c r="AV20" s="172"/>
      <c r="AW20" s="172"/>
      <c r="AX20" s="172"/>
      <c r="BB20" s="284"/>
      <c r="BC20" s="189"/>
      <c r="BD20" s="189"/>
      <c r="BE20" s="189"/>
    </row>
    <row r="21" spans="1:57" ht="24" customHeight="1">
      <c r="A21" s="247">
        <v>7</v>
      </c>
      <c r="B21" s="253" t="s">
        <v>42</v>
      </c>
      <c r="C21" s="238">
        <v>607.45</v>
      </c>
      <c r="D21" s="238">
        <v>224.51</v>
      </c>
      <c r="E21" s="238">
        <v>0.34</v>
      </c>
      <c r="F21" s="238">
        <v>398.49</v>
      </c>
      <c r="G21" s="452">
        <f t="shared" si="3"/>
        <v>0.22686850974676626</v>
      </c>
      <c r="H21" s="238">
        <v>23.4</v>
      </c>
      <c r="I21" s="238">
        <v>19.76</v>
      </c>
      <c r="J21" s="238">
        <v>20.73</v>
      </c>
      <c r="K21" s="238"/>
      <c r="L21" s="238">
        <v>0.8</v>
      </c>
      <c r="M21" s="238">
        <v>0</v>
      </c>
      <c r="N21" s="238">
        <v>0.05</v>
      </c>
      <c r="O21" s="238">
        <v>17.72</v>
      </c>
      <c r="P21" s="238">
        <v>2.44</v>
      </c>
      <c r="Q21" s="238">
        <v>1.41</v>
      </c>
      <c r="R21" s="238"/>
      <c r="S21" s="238"/>
      <c r="T21" s="238">
        <f>SUM(K21:S21)</f>
        <v>22.42</v>
      </c>
      <c r="U21" s="238"/>
      <c r="V21" s="238">
        <v>0</v>
      </c>
      <c r="W21" s="238"/>
      <c r="X21" s="238"/>
      <c r="Y21" s="335">
        <v>86.09</v>
      </c>
      <c r="Z21" s="358">
        <f>SUM(C21:Y21)-T21</f>
        <v>1403.4168685097468</v>
      </c>
      <c r="AA21" s="398"/>
      <c r="AB21" s="398">
        <f>'MARCH -15 final result'!H25</f>
        <v>1837.84</v>
      </c>
      <c r="AC21" s="358">
        <f>+AC14-AC20</f>
        <v>-3914.079929999998</v>
      </c>
      <c r="AD21" s="212">
        <f>'[4]DEC -14 final result'!J25</f>
        <v>1438.52</v>
      </c>
      <c r="AE21" s="212">
        <f t="shared" si="0"/>
        <v>-35.10313149025319</v>
      </c>
      <c r="AF21" s="212">
        <f>'[4]DEC -14 final result'!H25</f>
        <v>1403.14</v>
      </c>
      <c r="AG21" s="212">
        <f t="shared" si="1"/>
        <v>0.2768685097466914</v>
      </c>
      <c r="AH21" s="213"/>
      <c r="AI21" s="213"/>
      <c r="AJ21" s="213"/>
      <c r="AK21" s="212"/>
      <c r="AL21" s="212"/>
      <c r="AM21" s="213"/>
      <c r="AN21" s="213"/>
      <c r="AO21" s="213"/>
      <c r="AP21" s="213"/>
      <c r="AQ21" s="213"/>
      <c r="AR21" s="172"/>
      <c r="AS21" s="172"/>
      <c r="AT21" s="172"/>
      <c r="AU21" s="172"/>
      <c r="AV21" s="210"/>
      <c r="AW21" s="172"/>
      <c r="AX21" s="172"/>
      <c r="BB21" s="189"/>
      <c r="BC21" s="189"/>
      <c r="BD21" s="189"/>
      <c r="BE21" s="189"/>
    </row>
    <row r="22" spans="1:57" ht="24" customHeight="1">
      <c r="A22" s="246">
        <v>8</v>
      </c>
      <c r="B22" s="217" t="s">
        <v>174</v>
      </c>
      <c r="C22" s="239">
        <f>+C20-C21</f>
        <v>1476.6599999999987</v>
      </c>
      <c r="D22" s="239">
        <f aca="true" t="shared" si="6" ref="D22:AF22">+D20-D21</f>
        <v>-52.239929999999845</v>
      </c>
      <c r="E22" s="239">
        <f t="shared" si="6"/>
        <v>34.129999999999995</v>
      </c>
      <c r="F22" s="239">
        <f t="shared" si="6"/>
        <v>-195.57999999999993</v>
      </c>
      <c r="G22" s="452">
        <f t="shared" si="3"/>
        <v>-0.11134769539078151</v>
      </c>
      <c r="H22" s="239">
        <f t="shared" si="6"/>
        <v>43.73</v>
      </c>
      <c r="I22" s="239">
        <f t="shared" si="6"/>
        <v>39.08999999999999</v>
      </c>
      <c r="J22" s="239">
        <f t="shared" si="6"/>
        <v>20.119999999999994</v>
      </c>
      <c r="K22" s="239">
        <f t="shared" si="6"/>
        <v>0</v>
      </c>
      <c r="L22" s="239">
        <f t="shared" si="6"/>
        <v>-1.05</v>
      </c>
      <c r="M22" s="239">
        <f t="shared" si="6"/>
        <v>0</v>
      </c>
      <c r="N22" s="239">
        <f t="shared" si="6"/>
        <v>-0.4199999999999999</v>
      </c>
      <c r="O22" s="239">
        <f t="shared" si="6"/>
        <v>-3.8500000000000085</v>
      </c>
      <c r="P22" s="239">
        <f t="shared" si="6"/>
        <v>1.3700000000000023</v>
      </c>
      <c r="Q22" s="239">
        <f t="shared" si="6"/>
        <v>53.420000000000016</v>
      </c>
      <c r="R22" s="239">
        <f t="shared" si="6"/>
        <v>0</v>
      </c>
      <c r="S22" s="239">
        <f t="shared" si="6"/>
        <v>0</v>
      </c>
      <c r="T22" s="239">
        <f t="shared" si="6"/>
        <v>49.46999999999993</v>
      </c>
      <c r="U22" s="239">
        <f t="shared" si="6"/>
        <v>165.84</v>
      </c>
      <c r="V22" s="239">
        <f t="shared" si="6"/>
        <v>52.75</v>
      </c>
      <c r="W22" s="239">
        <f t="shared" si="6"/>
        <v>0</v>
      </c>
      <c r="X22" s="239">
        <f t="shared" si="6"/>
        <v>0</v>
      </c>
      <c r="Y22" s="336">
        <f t="shared" si="6"/>
        <v>-123.23999999999998</v>
      </c>
      <c r="Z22" s="359">
        <f t="shared" si="6"/>
        <v>1510.6187223046106</v>
      </c>
      <c r="AA22" s="387"/>
      <c r="AB22" s="405">
        <f>+AB20-AB21</f>
        <v>4212.959999999999</v>
      </c>
      <c r="AC22" s="359">
        <f>+AC20-AC21</f>
        <v>7828.159859999996</v>
      </c>
      <c r="AD22" s="359">
        <f t="shared" si="6"/>
        <v>4729.830000000002</v>
      </c>
      <c r="AE22" s="212">
        <f t="shared" si="0"/>
        <v>-3219.211277695391</v>
      </c>
      <c r="AF22" s="359">
        <f t="shared" si="6"/>
        <v>1504.5399999999993</v>
      </c>
      <c r="AG22" s="212">
        <f t="shared" si="1"/>
        <v>6.078722304611347</v>
      </c>
      <c r="AH22" s="213"/>
      <c r="AI22" s="213"/>
      <c r="AJ22" s="213"/>
      <c r="AK22" s="190"/>
      <c r="AL22" s="213"/>
      <c r="AM22" s="213"/>
      <c r="AN22" s="213"/>
      <c r="AO22" s="213"/>
      <c r="AP22" s="213"/>
      <c r="AQ22" s="213"/>
      <c r="AR22" s="172"/>
      <c r="AS22" s="172"/>
      <c r="AT22" s="172"/>
      <c r="AU22" s="210"/>
      <c r="AV22" s="210"/>
      <c r="AW22" s="172"/>
      <c r="AX22" s="172"/>
      <c r="BB22" s="189"/>
      <c r="BC22" s="189"/>
      <c r="BD22" s="189"/>
      <c r="BE22" s="189"/>
    </row>
    <row r="23" spans="1:57" ht="57.75" customHeight="1">
      <c r="A23" s="254">
        <v>9</v>
      </c>
      <c r="B23" s="258" t="s">
        <v>238</v>
      </c>
      <c r="C23" s="240">
        <f>'[3]interest allocation'!B9</f>
        <v>1410.583247376179</v>
      </c>
      <c r="D23" s="240">
        <f>'[3]interest allocation'!C9</f>
        <v>302.47538013653167</v>
      </c>
      <c r="E23" s="240">
        <f>'[3]interest allocation'!D9</f>
        <v>0.33720765384879897</v>
      </c>
      <c r="F23" s="240">
        <f>'[3]interest allocation'!E9</f>
        <v>642.2662134586973</v>
      </c>
      <c r="G23" s="452">
        <f t="shared" si="3"/>
        <v>0.36565529551073583</v>
      </c>
      <c r="H23" s="240">
        <f>'[3]interest allocation'!F9</f>
        <v>18.322262095694843</v>
      </c>
      <c r="I23" s="240">
        <f>'[3]interest allocation'!G9</f>
        <v>8.003188307441453</v>
      </c>
      <c r="J23" s="240">
        <f>'[3]interest allocation'!J9</f>
        <v>13.854899641079768</v>
      </c>
      <c r="K23" s="240"/>
      <c r="L23" s="240"/>
      <c r="M23" s="240"/>
      <c r="N23" s="240"/>
      <c r="O23" s="240"/>
      <c r="P23" s="240"/>
      <c r="Q23" s="240"/>
      <c r="R23" s="240">
        <v>0</v>
      </c>
      <c r="S23" s="240">
        <f>'[3]interest allocation'!H9</f>
        <v>10.936157855386705</v>
      </c>
      <c r="T23" s="240">
        <f>SUM(K23:S23)</f>
        <v>10.936157855386705</v>
      </c>
      <c r="U23" s="240">
        <v>0</v>
      </c>
      <c r="V23" s="240">
        <v>0</v>
      </c>
      <c r="W23" s="240">
        <f>'[3]interest allocation'!N9</f>
        <v>41.86938800000001</v>
      </c>
      <c r="X23" s="240">
        <f>'[3]interest allocation'!O9</f>
        <v>1819.5766200000005</v>
      </c>
      <c r="Y23" s="338">
        <f>'[3]interest allocation'!$P$9</f>
        <v>2986.51543547514</v>
      </c>
      <c r="Z23" s="360">
        <f>SUM(C23:Y23)-T23</f>
        <v>7255.105655295511</v>
      </c>
      <c r="AA23" s="285"/>
      <c r="AB23" s="285">
        <f>'MARCH -15 final result'!H31</f>
        <v>7948.21</v>
      </c>
      <c r="AC23" s="359">
        <f>+AC21-AC22</f>
        <v>-11742.239789999994</v>
      </c>
      <c r="AD23" s="212">
        <f>+'[4]DEC -14 final result'!J31</f>
        <v>5735.27</v>
      </c>
      <c r="AE23" s="212">
        <f t="shared" si="0"/>
        <v>1519.8356552955102</v>
      </c>
      <c r="AF23" s="212">
        <f>'[4]DEC -14 final result'!H31</f>
        <v>6887.76</v>
      </c>
      <c r="AG23" s="212">
        <f t="shared" si="1"/>
        <v>367.34565529551037</v>
      </c>
      <c r="AH23" s="213"/>
      <c r="AI23" s="213"/>
      <c r="AJ23" s="213"/>
      <c r="AK23" s="212"/>
      <c r="AL23" s="212"/>
      <c r="AM23" s="213"/>
      <c r="AN23" s="212"/>
      <c r="AO23" s="213"/>
      <c r="AP23" s="213"/>
      <c r="AQ23" s="213"/>
      <c r="AR23" s="172"/>
      <c r="AS23" s="172"/>
      <c r="AT23" s="172"/>
      <c r="AU23" s="210"/>
      <c r="AV23" s="210"/>
      <c r="AW23" s="172"/>
      <c r="AX23" s="172"/>
      <c r="BB23" s="284"/>
      <c r="BC23" s="189"/>
      <c r="BD23" s="189"/>
      <c r="BE23" s="284"/>
    </row>
    <row r="24" spans="1:57" ht="21.75" customHeight="1">
      <c r="A24" s="259">
        <v>10</v>
      </c>
      <c r="B24" s="260" t="s">
        <v>109</v>
      </c>
      <c r="C24" s="261">
        <v>0</v>
      </c>
      <c r="D24" s="261">
        <v>0</v>
      </c>
      <c r="E24" s="261">
        <v>0</v>
      </c>
      <c r="F24" s="261">
        <v>0</v>
      </c>
      <c r="G24" s="452">
        <f t="shared" si="3"/>
        <v>0</v>
      </c>
      <c r="H24" s="261">
        <v>0</v>
      </c>
      <c r="I24" s="261">
        <v>0</v>
      </c>
      <c r="J24" s="261"/>
      <c r="K24" s="261">
        <v>0</v>
      </c>
      <c r="L24" s="261"/>
      <c r="M24" s="261">
        <v>0</v>
      </c>
      <c r="N24" s="261"/>
      <c r="O24" s="261"/>
      <c r="P24" s="261"/>
      <c r="Q24" s="261"/>
      <c r="R24" s="261">
        <v>0</v>
      </c>
      <c r="S24" s="261"/>
      <c r="T24" s="240">
        <f>SUM(K24:S24)</f>
        <v>0</v>
      </c>
      <c r="U24" s="261">
        <v>0</v>
      </c>
      <c r="V24" s="261">
        <v>0</v>
      </c>
      <c r="W24" s="261"/>
      <c r="X24" s="261"/>
      <c r="Y24" s="339">
        <v>0</v>
      </c>
      <c r="Z24" s="261">
        <f>SUM(C24:Y24)-T24</f>
        <v>0</v>
      </c>
      <c r="AA24" s="285"/>
      <c r="AB24" s="285"/>
      <c r="AC24" s="285"/>
      <c r="AD24" s="212">
        <f>'[4]DEC -14 final result'!J33</f>
        <v>-23805.16</v>
      </c>
      <c r="AE24" s="212">
        <f t="shared" si="0"/>
        <v>23805.16</v>
      </c>
      <c r="AF24" s="212">
        <f>'[4]DEC -14 final result'!H33</f>
        <v>0.15</v>
      </c>
      <c r="AG24" s="212">
        <f t="shared" si="1"/>
        <v>-0.15</v>
      </c>
      <c r="AH24" s="213"/>
      <c r="AI24" s="213"/>
      <c r="AJ24" s="213"/>
      <c r="AK24" s="213"/>
      <c r="AL24" s="213"/>
      <c r="AM24" s="213"/>
      <c r="AN24" s="213"/>
      <c r="AO24" s="213"/>
      <c r="AP24" s="213"/>
      <c r="AQ24" s="213"/>
      <c r="AR24" s="172"/>
      <c r="AS24" s="172"/>
      <c r="AT24" s="172"/>
      <c r="AU24" s="210"/>
      <c r="AV24" s="210"/>
      <c r="AW24" s="172"/>
      <c r="AX24" s="172"/>
      <c r="BB24" s="284"/>
      <c r="BC24" s="285"/>
      <c r="BD24" s="189"/>
      <c r="BE24" s="189"/>
    </row>
    <row r="25" spans="1:57" ht="21.75" customHeight="1" hidden="1">
      <c r="A25" s="259">
        <v>11</v>
      </c>
      <c r="B25" s="260" t="s">
        <v>248</v>
      </c>
      <c r="C25" s="261"/>
      <c r="D25" s="261"/>
      <c r="E25" s="261"/>
      <c r="F25" s="261"/>
      <c r="G25" s="261"/>
      <c r="H25" s="261"/>
      <c r="I25" s="261"/>
      <c r="J25" s="261"/>
      <c r="K25" s="261"/>
      <c r="L25" s="261"/>
      <c r="M25" s="261"/>
      <c r="N25" s="261"/>
      <c r="O25" s="261"/>
      <c r="P25" s="261"/>
      <c r="Q25" s="261"/>
      <c r="R25" s="261">
        <v>0</v>
      </c>
      <c r="S25" s="261"/>
      <c r="T25" s="261">
        <v>0</v>
      </c>
      <c r="U25" s="261"/>
      <c r="V25" s="261"/>
      <c r="W25" s="261"/>
      <c r="X25" s="261"/>
      <c r="Y25" s="339">
        <v>0</v>
      </c>
      <c r="Z25" s="261">
        <f>SUM(C25:Y25)-T25</f>
        <v>0</v>
      </c>
      <c r="AA25" s="285"/>
      <c r="AB25" s="285"/>
      <c r="AC25" s="285"/>
      <c r="AD25" s="212">
        <f>'[4]DEC -14 final result'!J34</f>
        <v>0</v>
      </c>
      <c r="AE25" s="212">
        <f t="shared" si="0"/>
        <v>0</v>
      </c>
      <c r="AF25" s="213"/>
      <c r="AG25" s="212">
        <f t="shared" si="1"/>
        <v>0</v>
      </c>
      <c r="AH25" s="213"/>
      <c r="AI25" s="213"/>
      <c r="AJ25" s="213"/>
      <c r="AK25" s="213"/>
      <c r="AL25" s="213"/>
      <c r="AM25" s="213"/>
      <c r="AN25" s="213"/>
      <c r="AO25" s="213"/>
      <c r="AP25" s="213"/>
      <c r="AQ25" s="213"/>
      <c r="AR25" s="172"/>
      <c r="AS25" s="172"/>
      <c r="AT25" s="172"/>
      <c r="AU25" s="210"/>
      <c r="AV25" s="210"/>
      <c r="AW25" s="172"/>
      <c r="AX25" s="172"/>
      <c r="BB25" s="284"/>
      <c r="BC25" s="189"/>
      <c r="BD25" s="189"/>
      <c r="BE25" s="189"/>
    </row>
    <row r="26" spans="1:57" ht="40.5" customHeight="1">
      <c r="A26" s="255">
        <v>11</v>
      </c>
      <c r="B26" s="218" t="s">
        <v>148</v>
      </c>
      <c r="C26" s="241">
        <f>+C22-C23+C24-C25</f>
        <v>66.07675262381963</v>
      </c>
      <c r="D26" s="241">
        <f>+D22-D23+D24-D25</f>
        <v>-354.7153101365315</v>
      </c>
      <c r="E26" s="241">
        <f aca="true" t="shared" si="7" ref="E26:Z26">+E22-E23+E24-E25</f>
        <v>33.792792346151195</v>
      </c>
      <c r="F26" s="241">
        <f t="shared" si="7"/>
        <v>-837.8462134586972</v>
      </c>
      <c r="G26" s="452">
        <f t="shared" si="3"/>
        <v>-0.4770029909015174</v>
      </c>
      <c r="H26" s="241">
        <f t="shared" si="7"/>
        <v>25.407737904305154</v>
      </c>
      <c r="I26" s="241">
        <f t="shared" si="7"/>
        <v>31.086811692558534</v>
      </c>
      <c r="J26" s="241">
        <f t="shared" si="7"/>
        <v>6.265100358920225</v>
      </c>
      <c r="K26" s="241">
        <f t="shared" si="7"/>
        <v>0</v>
      </c>
      <c r="L26" s="241">
        <f t="shared" si="7"/>
        <v>-1.05</v>
      </c>
      <c r="M26" s="241">
        <f t="shared" si="7"/>
        <v>0</v>
      </c>
      <c r="N26" s="241">
        <f t="shared" si="7"/>
        <v>-0.4199999999999999</v>
      </c>
      <c r="O26" s="241">
        <f t="shared" si="7"/>
        <v>-3.8500000000000085</v>
      </c>
      <c r="P26" s="241">
        <f t="shared" si="7"/>
        <v>1.3700000000000023</v>
      </c>
      <c r="Q26" s="241">
        <f t="shared" si="7"/>
        <v>53.420000000000016</v>
      </c>
      <c r="R26" s="241">
        <f t="shared" si="7"/>
        <v>0</v>
      </c>
      <c r="S26" s="241">
        <f t="shared" si="7"/>
        <v>-10.936157855386705</v>
      </c>
      <c r="T26" s="241">
        <f t="shared" si="7"/>
        <v>38.533842144613224</v>
      </c>
      <c r="U26" s="241">
        <f t="shared" si="7"/>
        <v>165.84</v>
      </c>
      <c r="V26" s="241">
        <f t="shared" si="7"/>
        <v>52.75</v>
      </c>
      <c r="W26" s="241">
        <f t="shared" si="7"/>
        <v>-41.86938800000001</v>
      </c>
      <c r="X26" s="241">
        <f t="shared" si="7"/>
        <v>-1819.5766200000005</v>
      </c>
      <c r="Y26" s="340">
        <f t="shared" si="7"/>
        <v>-3109.7554354751396</v>
      </c>
      <c r="Z26" s="361">
        <f t="shared" si="7"/>
        <v>-5744.4869329909</v>
      </c>
      <c r="AA26" s="387"/>
      <c r="AB26" s="387">
        <f>'MARCH -15 final result'!H35</f>
        <v>-6469.57</v>
      </c>
      <c r="AC26" s="359">
        <f>+AC24-AC25</f>
        <v>0</v>
      </c>
      <c r="AD26" s="190">
        <f>'[4]DEC -14 final result'!J35</f>
        <v>-24810.6</v>
      </c>
      <c r="AE26" s="212">
        <f t="shared" si="0"/>
        <v>19066.1130670091</v>
      </c>
      <c r="AF26" s="361">
        <f>+AF22-AF23+AF24-AF25</f>
        <v>-5383.0700000000015</v>
      </c>
      <c r="AG26" s="361">
        <f>+AG22-AG23+AG24-AG25</f>
        <v>-361.416932990899</v>
      </c>
      <c r="AH26" s="213"/>
      <c r="AI26" s="213"/>
      <c r="AJ26" s="213"/>
      <c r="AK26" s="190"/>
      <c r="AL26" s="212"/>
      <c r="AM26" s="212"/>
      <c r="AN26" s="213"/>
      <c r="AO26" s="213"/>
      <c r="AP26" s="213"/>
      <c r="AQ26" s="213"/>
      <c r="AR26" s="172"/>
      <c r="AS26" s="172"/>
      <c r="AT26" s="172"/>
      <c r="AU26" s="210"/>
      <c r="AV26" s="172"/>
      <c r="AW26" s="172"/>
      <c r="AX26" s="172"/>
      <c r="BB26" s="284"/>
      <c r="BC26" s="284"/>
      <c r="BD26" s="189"/>
      <c r="BE26" s="189"/>
    </row>
    <row r="27" spans="1:57" s="208" customFormat="1" ht="18" customHeight="1" hidden="1">
      <c r="A27" s="414">
        <v>11</v>
      </c>
      <c r="B27" s="415" t="s">
        <v>109</v>
      </c>
      <c r="C27" s="94"/>
      <c r="D27" s="95"/>
      <c r="E27" s="95"/>
      <c r="F27" s="95"/>
      <c r="G27" s="95"/>
      <c r="H27" s="95"/>
      <c r="I27" s="95"/>
      <c r="J27" s="95"/>
      <c r="K27" s="95"/>
      <c r="L27" s="95"/>
      <c r="M27" s="95"/>
      <c r="N27" s="95"/>
      <c r="O27" s="95"/>
      <c r="P27" s="95"/>
      <c r="Q27" s="95"/>
      <c r="R27" s="95"/>
      <c r="S27" s="95"/>
      <c r="T27" s="95"/>
      <c r="U27" s="95"/>
      <c r="V27" s="95"/>
      <c r="W27" s="95"/>
      <c r="X27" s="95"/>
      <c r="Y27" s="95"/>
      <c r="Z27" s="95"/>
      <c r="AA27" s="399"/>
      <c r="AB27" s="399"/>
      <c r="AC27" s="399"/>
      <c r="AD27" s="221"/>
      <c r="AE27" s="221"/>
      <c r="AF27" s="221"/>
      <c r="AG27" s="221"/>
      <c r="AH27" s="221"/>
      <c r="AI27" s="221"/>
      <c r="AJ27" s="221"/>
      <c r="AK27" s="221"/>
      <c r="AL27" s="221"/>
      <c r="AM27" s="221"/>
      <c r="AN27" s="221"/>
      <c r="AO27" s="221"/>
      <c r="AP27" s="221"/>
      <c r="AQ27" s="221"/>
      <c r="BB27" s="221"/>
      <c r="BC27" s="221"/>
      <c r="BD27" s="221"/>
      <c r="BE27" s="221"/>
    </row>
    <row r="28" spans="1:57" s="208" customFormat="1" ht="42.75" customHeight="1" hidden="1">
      <c r="A28" s="416"/>
      <c r="B28" s="417" t="s">
        <v>145</v>
      </c>
      <c r="C28" s="171"/>
      <c r="D28" s="171"/>
      <c r="E28" s="171"/>
      <c r="F28" s="171"/>
      <c r="G28" s="171"/>
      <c r="H28" s="171"/>
      <c r="I28" s="171"/>
      <c r="J28" s="171"/>
      <c r="K28" s="206"/>
      <c r="L28" s="206"/>
      <c r="M28" s="206"/>
      <c r="N28" s="206"/>
      <c r="O28" s="206"/>
      <c r="P28" s="206"/>
      <c r="Q28" s="206"/>
      <c r="R28" s="206"/>
      <c r="S28" s="206"/>
      <c r="T28" s="418" t="e">
        <f>SUM(#REF!)</f>
        <v>#REF!</v>
      </c>
      <c r="U28" s="171"/>
      <c r="V28" s="171"/>
      <c r="W28" s="171"/>
      <c r="X28" s="171"/>
      <c r="Y28" s="171">
        <v>0</v>
      </c>
      <c r="Z28" s="188" t="e">
        <f>SUM(C28:Y28)-T28</f>
        <v>#REF!</v>
      </c>
      <c r="AA28" s="222"/>
      <c r="AB28" s="222"/>
      <c r="AC28" s="222"/>
      <c r="AD28" s="221"/>
      <c r="AE28" s="221"/>
      <c r="AF28" s="221"/>
      <c r="AG28" s="221"/>
      <c r="AH28" s="221"/>
      <c r="AI28" s="221"/>
      <c r="AJ28" s="221"/>
      <c r="AK28" s="221"/>
      <c r="AL28" s="221"/>
      <c r="AM28" s="221"/>
      <c r="AN28" s="221"/>
      <c r="AO28" s="221"/>
      <c r="AP28" s="221"/>
      <c r="AQ28" s="221"/>
      <c r="BB28" s="221"/>
      <c r="BC28" s="221"/>
      <c r="BD28" s="221"/>
      <c r="BE28" s="221"/>
    </row>
    <row r="29" spans="1:57" s="208" customFormat="1" ht="24.75" customHeight="1" hidden="1">
      <c r="A29" s="419"/>
      <c r="B29" s="417" t="s">
        <v>202</v>
      </c>
      <c r="C29" s="171">
        <v>0</v>
      </c>
      <c r="D29" s="171"/>
      <c r="E29" s="171"/>
      <c r="F29" s="171">
        <v>0</v>
      </c>
      <c r="G29" s="171"/>
      <c r="H29" s="171">
        <v>0</v>
      </c>
      <c r="I29" s="171"/>
      <c r="J29" s="171"/>
      <c r="K29" s="171">
        <v>0</v>
      </c>
      <c r="L29" s="171"/>
      <c r="M29" s="171"/>
      <c r="N29" s="171"/>
      <c r="O29" s="171">
        <v>0</v>
      </c>
      <c r="P29" s="171"/>
      <c r="Q29" s="171"/>
      <c r="R29" s="171"/>
      <c r="S29" s="206"/>
      <c r="T29" s="68">
        <f>SUM(K29:Q29)</f>
        <v>0</v>
      </c>
      <c r="U29" s="171"/>
      <c r="V29" s="171"/>
      <c r="W29" s="171"/>
      <c r="X29" s="171"/>
      <c r="Y29" s="171">
        <v>0</v>
      </c>
      <c r="Z29" s="188">
        <f>SUM(C29:Y29)-T29</f>
        <v>0</v>
      </c>
      <c r="AA29" s="222"/>
      <c r="AB29" s="222"/>
      <c r="AC29" s="222"/>
      <c r="AD29" s="221"/>
      <c r="AE29" s="221"/>
      <c r="AF29" s="221"/>
      <c r="AG29" s="221"/>
      <c r="AH29" s="221"/>
      <c r="AI29" s="221"/>
      <c r="AJ29" s="221"/>
      <c r="AK29" s="345"/>
      <c r="AL29" s="221"/>
      <c r="AM29" s="221"/>
      <c r="AN29" s="221"/>
      <c r="AO29" s="221"/>
      <c r="AP29" s="221"/>
      <c r="AQ29" s="221"/>
      <c r="AV29" s="209"/>
      <c r="BB29" s="221"/>
      <c r="BC29" s="221"/>
      <c r="BD29" s="221"/>
      <c r="BE29" s="221"/>
    </row>
    <row r="30" spans="1:57" s="208" customFormat="1" ht="37.5" customHeight="1" hidden="1">
      <c r="A30" s="419"/>
      <c r="B30" s="420" t="s">
        <v>237</v>
      </c>
      <c r="C30" s="171"/>
      <c r="D30" s="171"/>
      <c r="E30" s="171"/>
      <c r="F30" s="171"/>
      <c r="G30" s="171"/>
      <c r="H30" s="171"/>
      <c r="I30" s="171"/>
      <c r="J30" s="171"/>
      <c r="K30" s="171"/>
      <c r="L30" s="171"/>
      <c r="M30" s="171"/>
      <c r="N30" s="171"/>
      <c r="O30" s="171"/>
      <c r="P30" s="171"/>
      <c r="Q30" s="171"/>
      <c r="R30" s="206"/>
      <c r="S30" s="206"/>
      <c r="T30" s="191"/>
      <c r="U30" s="171"/>
      <c r="V30" s="171"/>
      <c r="W30" s="171"/>
      <c r="X30" s="171"/>
      <c r="Y30" s="171">
        <v>0</v>
      </c>
      <c r="Z30" s="188">
        <f>SUM(C30:Y30)-T30</f>
        <v>0</v>
      </c>
      <c r="AA30" s="222"/>
      <c r="AB30" s="222"/>
      <c r="AC30" s="222"/>
      <c r="AD30" s="221"/>
      <c r="AE30" s="221"/>
      <c r="AF30" s="221"/>
      <c r="AG30" s="221"/>
      <c r="AH30" s="221"/>
      <c r="AI30" s="221"/>
      <c r="AJ30" s="221"/>
      <c r="AK30" s="345"/>
      <c r="AL30" s="221"/>
      <c r="AM30" s="221"/>
      <c r="AN30" s="221"/>
      <c r="AO30" s="221"/>
      <c r="AP30" s="221"/>
      <c r="AQ30" s="221"/>
      <c r="BB30" s="221"/>
      <c r="BC30" s="221"/>
      <c r="BD30" s="221"/>
      <c r="BE30" s="221"/>
    </row>
    <row r="31" spans="1:57" s="208" customFormat="1" ht="12.75" hidden="1">
      <c r="A31" s="421">
        <v>12</v>
      </c>
      <c r="B31" s="218" t="s">
        <v>148</v>
      </c>
      <c r="C31" s="211">
        <f>+C26+C29+C30</f>
        <v>66.07675262381963</v>
      </c>
      <c r="D31" s="211">
        <f aca="true" t="shared" si="8" ref="D31:Z31">+D26+D29+D30</f>
        <v>-354.7153101365315</v>
      </c>
      <c r="E31" s="211">
        <f t="shared" si="8"/>
        <v>33.792792346151195</v>
      </c>
      <c r="F31" s="211">
        <f t="shared" si="8"/>
        <v>-837.8462134586972</v>
      </c>
      <c r="G31" s="211"/>
      <c r="H31" s="211">
        <f t="shared" si="8"/>
        <v>25.407737904305154</v>
      </c>
      <c r="I31" s="211">
        <f t="shared" si="8"/>
        <v>31.086811692558534</v>
      </c>
      <c r="J31" s="211">
        <f t="shared" si="8"/>
        <v>6.265100358920225</v>
      </c>
      <c r="K31" s="211">
        <f t="shared" si="8"/>
        <v>0</v>
      </c>
      <c r="L31" s="211">
        <f t="shared" si="8"/>
        <v>-1.05</v>
      </c>
      <c r="M31" s="211">
        <f t="shared" si="8"/>
        <v>0</v>
      </c>
      <c r="N31" s="211">
        <f t="shared" si="8"/>
        <v>-0.4199999999999999</v>
      </c>
      <c r="O31" s="211">
        <f t="shared" si="8"/>
        <v>-3.8500000000000085</v>
      </c>
      <c r="P31" s="211">
        <f t="shared" si="8"/>
        <v>1.3700000000000023</v>
      </c>
      <c r="Q31" s="211">
        <f t="shared" si="8"/>
        <v>53.420000000000016</v>
      </c>
      <c r="R31" s="211">
        <f t="shared" si="8"/>
        <v>0</v>
      </c>
      <c r="S31" s="211"/>
      <c r="T31" s="211">
        <f t="shared" si="8"/>
        <v>38.533842144613224</v>
      </c>
      <c r="U31" s="211">
        <f t="shared" si="8"/>
        <v>165.84</v>
      </c>
      <c r="V31" s="211">
        <f t="shared" si="8"/>
        <v>52.75</v>
      </c>
      <c r="W31" s="211">
        <f t="shared" si="8"/>
        <v>-41.86938800000001</v>
      </c>
      <c r="X31" s="211">
        <f t="shared" si="8"/>
        <v>-1819.5766200000005</v>
      </c>
      <c r="Y31" s="211">
        <f t="shared" si="8"/>
        <v>-3109.7554354751396</v>
      </c>
      <c r="Z31" s="343">
        <f t="shared" si="8"/>
        <v>-5744.4869329909</v>
      </c>
      <c r="AA31" s="223"/>
      <c r="AB31" s="223"/>
      <c r="AC31" s="223"/>
      <c r="AD31" s="223"/>
      <c r="AE31" s="223"/>
      <c r="AF31" s="221"/>
      <c r="AG31" s="221"/>
      <c r="AH31" s="221"/>
      <c r="AI31" s="221"/>
      <c r="AJ31" s="221"/>
      <c r="AK31" s="221"/>
      <c r="AL31" s="221"/>
      <c r="AM31" s="221"/>
      <c r="AN31" s="221"/>
      <c r="AO31" s="221"/>
      <c r="AP31" s="221"/>
      <c r="AQ31" s="221"/>
      <c r="AU31" s="208">
        <v>563.68</v>
      </c>
      <c r="BB31" s="221"/>
      <c r="BC31" s="221"/>
      <c r="BD31" s="221"/>
      <c r="BE31" s="221"/>
    </row>
    <row r="32" spans="1:57" s="208" customFormat="1" ht="12.75" hidden="1">
      <c r="A32" s="421"/>
      <c r="B32" s="218"/>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343"/>
      <c r="AA32" s="223"/>
      <c r="AB32" s="223"/>
      <c r="AC32" s="223"/>
      <c r="AD32" s="205"/>
      <c r="AE32" s="221"/>
      <c r="AF32" s="221"/>
      <c r="AG32" s="221"/>
      <c r="AH32" s="221"/>
      <c r="AI32" s="221"/>
      <c r="AJ32" s="221"/>
      <c r="AK32" s="221"/>
      <c r="AL32" s="221"/>
      <c r="AM32" s="221"/>
      <c r="AN32" s="221"/>
      <c r="AO32" s="221"/>
      <c r="AP32" s="221"/>
      <c r="AQ32" s="221"/>
      <c r="BB32" s="221"/>
      <c r="BC32" s="221"/>
      <c r="BD32" s="221"/>
      <c r="BE32" s="221"/>
    </row>
    <row r="33" spans="1:57" s="208" customFormat="1" ht="12.75" hidden="1">
      <c r="A33" s="422" t="s">
        <v>12</v>
      </c>
      <c r="B33" s="170" t="s">
        <v>5</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344"/>
      <c r="AA33" s="205"/>
      <c r="AB33" s="205"/>
      <c r="AC33" s="205"/>
      <c r="AD33" s="221"/>
      <c r="AE33" s="221"/>
      <c r="AF33" s="221"/>
      <c r="AG33" s="221"/>
      <c r="AH33" s="221"/>
      <c r="AI33" s="221"/>
      <c r="AJ33" s="221"/>
      <c r="AK33" s="221"/>
      <c r="AL33" s="221"/>
      <c r="AM33" s="221"/>
      <c r="AN33" s="221"/>
      <c r="AO33" s="221"/>
      <c r="AP33" s="221"/>
      <c r="AQ33" s="221"/>
      <c r="BB33" s="221"/>
      <c r="BC33" s="221"/>
      <c r="BD33" s="221"/>
      <c r="BE33" s="221"/>
    </row>
    <row r="34" spans="1:57" s="208" customFormat="1" ht="12.75" hidden="1">
      <c r="A34" s="421"/>
      <c r="B34" s="170" t="s">
        <v>140</v>
      </c>
      <c r="C34" s="171">
        <v>18259.8099276</v>
      </c>
      <c r="D34" s="171">
        <v>6655.4474642000005</v>
      </c>
      <c r="E34" s="171">
        <v>698.389405</v>
      </c>
      <c r="F34" s="171">
        <v>14117.1470424</v>
      </c>
      <c r="G34" s="171"/>
      <c r="H34" s="171">
        <v>356.1741007</v>
      </c>
      <c r="I34" s="171">
        <v>232.85963400000003</v>
      </c>
      <c r="J34" s="171"/>
      <c r="K34" s="206"/>
      <c r="L34" s="206"/>
      <c r="M34" s="206"/>
      <c r="N34" s="206"/>
      <c r="O34" s="206"/>
      <c r="P34" s="206"/>
      <c r="Q34" s="206"/>
      <c r="R34" s="206"/>
      <c r="S34" s="206"/>
      <c r="T34" s="68" t="e">
        <f>SUM(#REF!)</f>
        <v>#REF!</v>
      </c>
      <c r="U34" s="171">
        <v>0</v>
      </c>
      <c r="V34" s="171"/>
      <c r="W34" s="171">
        <v>4032.99</v>
      </c>
      <c r="X34" s="171">
        <v>20601.32</v>
      </c>
      <c r="Y34" s="171">
        <v>3160.1741811000006</v>
      </c>
      <c r="Z34" s="188" t="e">
        <f>SUM(C34:Y34)-T34</f>
        <v>#REF!</v>
      </c>
      <c r="AA34" s="222"/>
      <c r="AB34" s="222"/>
      <c r="AC34" s="222"/>
      <c r="AD34" s="221"/>
      <c r="AE34" s="221"/>
      <c r="AF34" s="221"/>
      <c r="AG34" s="221"/>
      <c r="AH34" s="221"/>
      <c r="AI34" s="221"/>
      <c r="AJ34" s="221"/>
      <c r="AK34" s="221"/>
      <c r="AL34" s="221"/>
      <c r="AM34" s="221"/>
      <c r="AN34" s="221"/>
      <c r="AO34" s="221"/>
      <c r="AP34" s="221"/>
      <c r="AQ34" s="221"/>
      <c r="BB34" s="221"/>
      <c r="BC34" s="221"/>
      <c r="BD34" s="221"/>
      <c r="BE34" s="221"/>
    </row>
    <row r="35" spans="1:57" s="208" customFormat="1" ht="12.75" hidden="1">
      <c r="A35" s="421"/>
      <c r="B35" s="170" t="s">
        <v>6</v>
      </c>
      <c r="C35" s="171">
        <v>5157.1659326</v>
      </c>
      <c r="D35" s="171">
        <v>986.0433688999999</v>
      </c>
      <c r="E35" s="171">
        <v>26.502863700000002</v>
      </c>
      <c r="F35" s="171">
        <v>2479.2838715</v>
      </c>
      <c r="G35" s="171"/>
      <c r="H35" s="171">
        <v>68.1334473</v>
      </c>
      <c r="I35" s="171">
        <v>37.8133067</v>
      </c>
      <c r="J35" s="171"/>
      <c r="K35" s="206"/>
      <c r="L35" s="206"/>
      <c r="M35" s="206"/>
      <c r="N35" s="206"/>
      <c r="O35" s="206"/>
      <c r="P35" s="206"/>
      <c r="Q35" s="206"/>
      <c r="R35" s="206"/>
      <c r="S35" s="206"/>
      <c r="T35" s="68" t="e">
        <f>SUM(#REF!)</f>
        <v>#REF!</v>
      </c>
      <c r="U35" s="171">
        <v>0</v>
      </c>
      <c r="V35" s="171">
        <v>0</v>
      </c>
      <c r="W35" s="171">
        <v>0</v>
      </c>
      <c r="X35" s="171">
        <v>0</v>
      </c>
      <c r="Y35" s="171">
        <v>415.3859118</v>
      </c>
      <c r="Z35" s="188" t="e">
        <f>SUM(C35:Y35)-T35</f>
        <v>#REF!</v>
      </c>
      <c r="AA35" s="222"/>
      <c r="AB35" s="222"/>
      <c r="AC35" s="222"/>
      <c r="AD35" s="221"/>
      <c r="AE35" s="221"/>
      <c r="AF35" s="221"/>
      <c r="AG35" s="221"/>
      <c r="AH35" s="221"/>
      <c r="AI35" s="221"/>
      <c r="AJ35" s="221"/>
      <c r="AK35" s="221"/>
      <c r="AL35" s="221"/>
      <c r="AM35" s="221"/>
      <c r="AN35" s="221"/>
      <c r="AO35" s="221"/>
      <c r="AP35" s="221"/>
      <c r="AQ35" s="221"/>
      <c r="BB35" s="221"/>
      <c r="BC35" s="221"/>
      <c r="BD35" s="221"/>
      <c r="BE35" s="221"/>
    </row>
    <row r="36" spans="1:57" s="208" customFormat="1" ht="12.75" hidden="1">
      <c r="A36" s="421"/>
      <c r="B36" s="170" t="s">
        <v>7</v>
      </c>
      <c r="C36" s="171">
        <f aca="true" t="shared" si="9" ref="C36:I36">+C34-C35</f>
        <v>13102.643994999999</v>
      </c>
      <c r="D36" s="171">
        <f t="shared" si="9"/>
        <v>5669.4040953</v>
      </c>
      <c r="E36" s="171">
        <f t="shared" si="9"/>
        <v>671.8865413</v>
      </c>
      <c r="F36" s="171">
        <f t="shared" si="9"/>
        <v>11637.8631709</v>
      </c>
      <c r="G36" s="171"/>
      <c r="H36" s="171">
        <f t="shared" si="9"/>
        <v>288.0406534</v>
      </c>
      <c r="I36" s="171">
        <f t="shared" si="9"/>
        <v>195.04632730000003</v>
      </c>
      <c r="J36" s="171"/>
      <c r="K36" s="171"/>
      <c r="L36" s="171"/>
      <c r="M36" s="171"/>
      <c r="N36" s="171"/>
      <c r="O36" s="171"/>
      <c r="P36" s="171"/>
      <c r="Q36" s="171"/>
      <c r="R36" s="171"/>
      <c r="S36" s="171"/>
      <c r="T36" s="171" t="e">
        <f aca="true" t="shared" si="10" ref="T36:Z36">+T34-T35</f>
        <v>#REF!</v>
      </c>
      <c r="U36" s="171">
        <f t="shared" si="10"/>
        <v>0</v>
      </c>
      <c r="V36" s="171">
        <f t="shared" si="10"/>
        <v>0</v>
      </c>
      <c r="W36" s="171">
        <f t="shared" si="10"/>
        <v>4032.99</v>
      </c>
      <c r="X36" s="171">
        <f t="shared" si="10"/>
        <v>20601.32</v>
      </c>
      <c r="Y36" s="171">
        <f t="shared" si="10"/>
        <v>2744.7882693000006</v>
      </c>
      <c r="Z36" s="344" t="e">
        <f t="shared" si="10"/>
        <v>#REF!</v>
      </c>
      <c r="AA36" s="205"/>
      <c r="AB36" s="205"/>
      <c r="AC36" s="205"/>
      <c r="AD36" s="221"/>
      <c r="AE36" s="221"/>
      <c r="AF36" s="221"/>
      <c r="AG36" s="221"/>
      <c r="AH36" s="221"/>
      <c r="AI36" s="221"/>
      <c r="AJ36" s="221"/>
      <c r="AK36" s="221"/>
      <c r="AL36" s="221"/>
      <c r="AM36" s="221"/>
      <c r="AN36" s="221"/>
      <c r="AO36" s="221"/>
      <c r="AP36" s="221"/>
      <c r="AQ36" s="221"/>
      <c r="BB36" s="221"/>
      <c r="BC36" s="221"/>
      <c r="BD36" s="221"/>
      <c r="BE36" s="221"/>
    </row>
    <row r="37" spans="1:57" s="208" customFormat="1" ht="18" customHeight="1" hidden="1">
      <c r="A37" s="172"/>
      <c r="B37" s="172"/>
      <c r="C37" s="423" t="s">
        <v>12</v>
      </c>
      <c r="D37" s="423" t="s">
        <v>144</v>
      </c>
      <c r="E37" s="423" t="s">
        <v>144</v>
      </c>
      <c r="F37" s="423" t="s">
        <v>144</v>
      </c>
      <c r="G37" s="423"/>
      <c r="H37" s="423" t="s">
        <v>144</v>
      </c>
      <c r="I37" s="423" t="s">
        <v>144</v>
      </c>
      <c r="J37" s="423"/>
      <c r="K37" s="423"/>
      <c r="L37" s="423"/>
      <c r="M37" s="423"/>
      <c r="N37" s="423"/>
      <c r="O37" s="423"/>
      <c r="P37" s="423"/>
      <c r="Q37" s="423"/>
      <c r="R37" s="423"/>
      <c r="S37" s="423"/>
      <c r="T37" s="423"/>
      <c r="U37" s="423" t="s">
        <v>144</v>
      </c>
      <c r="V37" s="423" t="s">
        <v>12</v>
      </c>
      <c r="W37" s="423"/>
      <c r="X37" s="423"/>
      <c r="Y37" s="423" t="s">
        <v>144</v>
      </c>
      <c r="Z37" s="423" t="s">
        <v>110</v>
      </c>
      <c r="AA37" s="410"/>
      <c r="AB37" s="225"/>
      <c r="AC37" s="225"/>
      <c r="AD37" s="221"/>
      <c r="AE37" s="221"/>
      <c r="AF37" s="221"/>
      <c r="AG37" s="221"/>
      <c r="AH37" s="221"/>
      <c r="AI37" s="221"/>
      <c r="AJ37" s="221"/>
      <c r="AK37" s="221"/>
      <c r="AL37" s="221"/>
      <c r="AM37" s="221"/>
      <c r="AN37" s="221"/>
      <c r="AO37" s="221"/>
      <c r="AP37" s="221"/>
      <c r="AQ37" s="221"/>
      <c r="BB37" s="221"/>
      <c r="BC37" s="221"/>
      <c r="BD37" s="221"/>
      <c r="BE37" s="221"/>
    </row>
    <row r="38" spans="1:57" s="208" customFormat="1" ht="11.25" hidden="1">
      <c r="A38" s="172"/>
      <c r="B38" s="172"/>
      <c r="C38" s="210">
        <f>C36*14%/2</f>
        <v>917.18507965</v>
      </c>
      <c r="D38" s="172"/>
      <c r="E38" s="172"/>
      <c r="F38" s="210">
        <f>F36*14%/2</f>
        <v>814.6504219630001</v>
      </c>
      <c r="G38" s="210"/>
      <c r="H38" s="172"/>
      <c r="I38" s="172"/>
      <c r="J38" s="172"/>
      <c r="K38" s="172"/>
      <c r="L38" s="172"/>
      <c r="M38" s="172"/>
      <c r="N38" s="172"/>
      <c r="O38" s="172"/>
      <c r="P38" s="172"/>
      <c r="Q38" s="172"/>
      <c r="R38" s="172"/>
      <c r="S38" s="172"/>
      <c r="T38" s="172"/>
      <c r="U38" s="172"/>
      <c r="V38" s="172"/>
      <c r="W38" s="172"/>
      <c r="X38" s="172"/>
      <c r="Y38" s="219">
        <f>+Y31-26.79</f>
        <v>-3136.5454354751396</v>
      </c>
      <c r="Z38" s="219" t="s">
        <v>12</v>
      </c>
      <c r="AA38" s="205"/>
      <c r="AB38" s="224"/>
      <c r="AC38" s="224"/>
      <c r="AD38" s="221"/>
      <c r="AE38" s="221"/>
      <c r="AF38" s="221"/>
      <c r="AG38" s="221"/>
      <c r="AH38" s="221"/>
      <c r="AI38" s="221"/>
      <c r="AJ38" s="221"/>
      <c r="AK38" s="221"/>
      <c r="AL38" s="221"/>
      <c r="AM38" s="221"/>
      <c r="AN38" s="221"/>
      <c r="AO38" s="221"/>
      <c r="AP38" s="221"/>
      <c r="AQ38" s="221"/>
      <c r="BB38" s="221"/>
      <c r="BC38" s="221"/>
      <c r="BD38" s="221"/>
      <c r="BE38" s="221"/>
    </row>
    <row r="39" spans="1:57" s="208" customFormat="1" ht="11.25" hidden="1">
      <c r="A39" s="172"/>
      <c r="B39" s="172"/>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345"/>
      <c r="AB39" s="209"/>
      <c r="AC39" s="209"/>
      <c r="AD39" s="221"/>
      <c r="AE39" s="221"/>
      <c r="AF39" s="221"/>
      <c r="AG39" s="221"/>
      <c r="AH39" s="221"/>
      <c r="AI39" s="221"/>
      <c r="AJ39" s="221"/>
      <c r="AK39" s="221"/>
      <c r="AL39" s="221"/>
      <c r="AM39" s="221"/>
      <c r="AN39" s="221"/>
      <c r="AO39" s="221"/>
      <c r="AP39" s="221"/>
      <c r="AQ39" s="221"/>
      <c r="BB39" s="221"/>
      <c r="BC39" s="221"/>
      <c r="BD39" s="221"/>
      <c r="BE39" s="221"/>
    </row>
    <row r="40" spans="1:57" s="208" customFormat="1" ht="11.25" hidden="1">
      <c r="A40" s="172"/>
      <c r="B40" s="172" t="s">
        <v>16</v>
      </c>
      <c r="C40" s="210">
        <f aca="true" t="shared" si="11" ref="C40:I40">C36*14.38%/2</f>
        <v>942.0801032405</v>
      </c>
      <c r="D40" s="210">
        <f t="shared" si="11"/>
        <v>407.63015445207003</v>
      </c>
      <c r="E40" s="210">
        <f t="shared" si="11"/>
        <v>48.30864231947</v>
      </c>
      <c r="F40" s="210">
        <f t="shared" si="11"/>
        <v>836.76236198771</v>
      </c>
      <c r="G40" s="210"/>
      <c r="H40" s="210">
        <f t="shared" si="11"/>
        <v>20.710122979460003</v>
      </c>
      <c r="I40" s="210">
        <f t="shared" si="11"/>
        <v>14.023830932870004</v>
      </c>
      <c r="J40" s="210"/>
      <c r="K40" s="210"/>
      <c r="L40" s="210"/>
      <c r="M40" s="210"/>
      <c r="N40" s="210"/>
      <c r="O40" s="210"/>
      <c r="P40" s="210"/>
      <c r="Q40" s="210"/>
      <c r="R40" s="210"/>
      <c r="S40" s="210"/>
      <c r="T40" s="210" t="e">
        <f>T36*14.38%/2</f>
        <v>#REF!</v>
      </c>
      <c r="U40" s="210">
        <f>U36*14.38%/2</f>
        <v>0</v>
      </c>
      <c r="V40" s="210">
        <f>V36*14.38%/2</f>
        <v>0</v>
      </c>
      <c r="W40" s="210">
        <f>W36*14.38%/2</f>
        <v>289.971981</v>
      </c>
      <c r="X40" s="210">
        <f>X36*14.38%/2</f>
        <v>1481.2349080000001</v>
      </c>
      <c r="Y40" s="210" t="e">
        <f>1121.58-(SUM(C40:X40)-T40)</f>
        <v>#REF!</v>
      </c>
      <c r="Z40" s="188" t="e">
        <f>SUM(C40:Y40)-T40</f>
        <v>#REF!</v>
      </c>
      <c r="AA40" s="222"/>
      <c r="AB40" s="222"/>
      <c r="AC40" s="222"/>
      <c r="AD40" s="221"/>
      <c r="AE40" s="221"/>
      <c r="AF40" s="221"/>
      <c r="AG40" s="221"/>
      <c r="AH40" s="221"/>
      <c r="AI40" s="221"/>
      <c r="AJ40" s="221"/>
      <c r="AK40" s="221"/>
      <c r="AL40" s="221"/>
      <c r="AM40" s="221"/>
      <c r="AN40" s="221"/>
      <c r="AO40" s="221"/>
      <c r="AP40" s="221"/>
      <c r="AQ40" s="221"/>
      <c r="BB40" s="221"/>
      <c r="BC40" s="221"/>
      <c r="BD40" s="221"/>
      <c r="BE40" s="221"/>
    </row>
    <row r="41" spans="1:57" s="208" customFormat="1" ht="11.25" hidden="1">
      <c r="A41" s="172"/>
      <c r="B41" s="172"/>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345"/>
      <c r="AB41" s="209"/>
      <c r="AC41" s="209"/>
      <c r="AD41" s="221"/>
      <c r="AE41" s="221"/>
      <c r="AF41" s="221"/>
      <c r="AG41" s="221"/>
      <c r="AH41" s="221"/>
      <c r="AI41" s="221"/>
      <c r="AJ41" s="221"/>
      <c r="AK41" s="221"/>
      <c r="AL41" s="221"/>
      <c r="AM41" s="221"/>
      <c r="AN41" s="221"/>
      <c r="AO41" s="221"/>
      <c r="AP41" s="221"/>
      <c r="AQ41" s="221"/>
      <c r="BB41" s="221"/>
      <c r="BC41" s="221"/>
      <c r="BD41" s="221"/>
      <c r="BE41" s="221"/>
    </row>
    <row r="42" spans="1:57" s="208" customFormat="1" ht="11.25" hidden="1">
      <c r="A42" s="172"/>
      <c r="B42" s="172"/>
      <c r="C42" s="210" t="s">
        <v>12</v>
      </c>
      <c r="D42" s="210"/>
      <c r="E42" s="210"/>
      <c r="F42" s="210"/>
      <c r="G42" s="210"/>
      <c r="H42" s="210"/>
      <c r="I42" s="210"/>
      <c r="J42" s="210"/>
      <c r="K42" s="210"/>
      <c r="L42" s="210"/>
      <c r="M42" s="210"/>
      <c r="N42" s="210"/>
      <c r="O42" s="210"/>
      <c r="P42" s="210"/>
      <c r="Q42" s="210"/>
      <c r="R42" s="210"/>
      <c r="S42" s="210"/>
      <c r="T42" s="210"/>
      <c r="U42" s="210"/>
      <c r="V42" s="210"/>
      <c r="W42" s="210"/>
      <c r="X42" s="210" t="s">
        <v>198</v>
      </c>
      <c r="Y42" s="424">
        <v>24.09</v>
      </c>
      <c r="Z42" s="210" t="s">
        <v>200</v>
      </c>
      <c r="AA42" s="345"/>
      <c r="AB42" s="209"/>
      <c r="AC42" s="209"/>
      <c r="AD42" s="221"/>
      <c r="AE42" s="221"/>
      <c r="AF42" s="221"/>
      <c r="AG42" s="221"/>
      <c r="AH42" s="221"/>
      <c r="AI42" s="221"/>
      <c r="AJ42" s="221"/>
      <c r="AK42" s="221"/>
      <c r="AL42" s="221"/>
      <c r="AM42" s="221"/>
      <c r="AN42" s="221"/>
      <c r="AO42" s="221"/>
      <c r="AP42" s="221"/>
      <c r="AQ42" s="221"/>
      <c r="BB42" s="221"/>
      <c r="BC42" s="221"/>
      <c r="BD42" s="221"/>
      <c r="BE42" s="221"/>
    </row>
    <row r="43" spans="1:57" s="208" customFormat="1" ht="11.25" hidden="1">
      <c r="A43" s="172"/>
      <c r="B43" s="172"/>
      <c r="C43" s="210"/>
      <c r="D43" s="210"/>
      <c r="E43" s="210"/>
      <c r="F43" s="210"/>
      <c r="G43" s="210"/>
      <c r="H43" s="210" t="s">
        <v>12</v>
      </c>
      <c r="I43" s="210" t="s">
        <v>12</v>
      </c>
      <c r="J43" s="210"/>
      <c r="K43" s="210"/>
      <c r="L43" s="210"/>
      <c r="M43" s="210"/>
      <c r="N43" s="210"/>
      <c r="O43" s="210"/>
      <c r="P43" s="210"/>
      <c r="Q43" s="210"/>
      <c r="R43" s="210"/>
      <c r="S43" s="210"/>
      <c r="T43" s="210"/>
      <c r="U43" s="210" t="s">
        <v>12</v>
      </c>
      <c r="V43" s="210"/>
      <c r="W43" s="210"/>
      <c r="X43" s="210"/>
      <c r="Y43" s="210" t="s">
        <v>12</v>
      </c>
      <c r="Z43" s="210"/>
      <c r="AA43" s="345"/>
      <c r="AB43" s="209"/>
      <c r="AC43" s="209"/>
      <c r="AD43" s="221"/>
      <c r="AE43" s="221"/>
      <c r="AF43" s="221"/>
      <c r="AG43" s="221"/>
      <c r="AH43" s="221"/>
      <c r="AI43" s="221"/>
      <c r="AJ43" s="221"/>
      <c r="AK43" s="221"/>
      <c r="AL43" s="221"/>
      <c r="AM43" s="221"/>
      <c r="AN43" s="221"/>
      <c r="AO43" s="221"/>
      <c r="AP43" s="221"/>
      <c r="AQ43" s="221"/>
      <c r="BB43" s="221"/>
      <c r="BC43" s="221"/>
      <c r="BD43" s="221"/>
      <c r="BE43" s="221"/>
    </row>
    <row r="44" spans="1:57" s="208" customFormat="1" ht="11.25" hidden="1">
      <c r="A44" s="172"/>
      <c r="B44" s="172"/>
      <c r="C44" s="210" t="s">
        <v>12</v>
      </c>
      <c r="D44" s="210"/>
      <c r="E44" s="210"/>
      <c r="F44" s="210"/>
      <c r="G44" s="210"/>
      <c r="H44" s="210"/>
      <c r="I44" s="210" t="s">
        <v>12</v>
      </c>
      <c r="J44" s="210"/>
      <c r="K44" s="210"/>
      <c r="L44" s="210"/>
      <c r="M44" s="210"/>
      <c r="N44" s="210"/>
      <c r="O44" s="210"/>
      <c r="P44" s="210"/>
      <c r="Q44" s="210"/>
      <c r="R44" s="210"/>
      <c r="S44" s="210"/>
      <c r="T44" s="210"/>
      <c r="U44" s="210" t="s">
        <v>12</v>
      </c>
      <c r="V44" s="210"/>
      <c r="W44" s="210"/>
      <c r="X44" s="210"/>
      <c r="Y44" s="210">
        <v>2075.26</v>
      </c>
      <c r="Z44" s="210"/>
      <c r="AA44" s="345"/>
      <c r="AB44" s="209"/>
      <c r="AC44" s="209"/>
      <c r="AD44" s="221"/>
      <c r="AE44" s="221"/>
      <c r="AF44" s="221"/>
      <c r="AG44" s="221"/>
      <c r="AH44" s="221"/>
      <c r="AI44" s="221"/>
      <c r="AJ44" s="221"/>
      <c r="AK44" s="221"/>
      <c r="AL44" s="221"/>
      <c r="AM44" s="221"/>
      <c r="AN44" s="221"/>
      <c r="AO44" s="221"/>
      <c r="AP44" s="221"/>
      <c r="AQ44" s="221"/>
      <c r="BB44" s="221"/>
      <c r="BC44" s="221"/>
      <c r="BD44" s="221"/>
      <c r="BE44" s="221"/>
    </row>
    <row r="45" spans="1:57" s="208" customFormat="1" ht="11.25" hidden="1">
      <c r="A45" s="172"/>
      <c r="B45" s="172"/>
      <c r="C45" s="210" t="s">
        <v>12</v>
      </c>
      <c r="D45" s="210"/>
      <c r="E45" s="210"/>
      <c r="F45" s="210"/>
      <c r="G45" s="210"/>
      <c r="H45" s="210"/>
      <c r="I45" s="210"/>
      <c r="J45" s="210"/>
      <c r="K45" s="210"/>
      <c r="L45" s="210"/>
      <c r="M45" s="210"/>
      <c r="N45" s="210"/>
      <c r="O45" s="210"/>
      <c r="P45" s="210"/>
      <c r="Q45" s="210"/>
      <c r="R45" s="210"/>
      <c r="S45" s="210"/>
      <c r="T45" s="210"/>
      <c r="U45" s="210"/>
      <c r="V45" s="210"/>
      <c r="W45" s="210"/>
      <c r="X45" s="210"/>
      <c r="Y45" s="210">
        <f>+Y44+Y26</f>
        <v>-1034.4954354751394</v>
      </c>
      <c r="Z45" s="210" t="s">
        <v>12</v>
      </c>
      <c r="AA45" s="345"/>
      <c r="AB45" s="209"/>
      <c r="AC45" s="209"/>
      <c r="AD45" s="221"/>
      <c r="AE45" s="221"/>
      <c r="AF45" s="221"/>
      <c r="AG45" s="221"/>
      <c r="AH45" s="221"/>
      <c r="AI45" s="221"/>
      <c r="AJ45" s="221"/>
      <c r="AK45" s="221"/>
      <c r="AL45" s="221"/>
      <c r="AM45" s="221"/>
      <c r="AN45" s="221"/>
      <c r="AO45" s="221"/>
      <c r="AP45" s="221"/>
      <c r="AQ45" s="221"/>
      <c r="BB45" s="221"/>
      <c r="BC45" s="221"/>
      <c r="BD45" s="221"/>
      <c r="BE45" s="221"/>
    </row>
    <row r="46" spans="1:57" s="208" customFormat="1" ht="11.25" hidden="1">
      <c r="A46" s="172"/>
      <c r="B46" s="172"/>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345"/>
      <c r="AB46" s="209"/>
      <c r="AC46" s="209"/>
      <c r="AD46" s="221"/>
      <c r="AE46" s="221"/>
      <c r="AF46" s="221"/>
      <c r="AG46" s="221"/>
      <c r="AH46" s="221"/>
      <c r="AI46" s="221"/>
      <c r="AJ46" s="221"/>
      <c r="AK46" s="221"/>
      <c r="AL46" s="221"/>
      <c r="AM46" s="221"/>
      <c r="AN46" s="221"/>
      <c r="AO46" s="221"/>
      <c r="AP46" s="221"/>
      <c r="AQ46" s="221"/>
      <c r="AU46" s="224">
        <f>+AU31+Z31</f>
        <v>-5180.806932990899</v>
      </c>
      <c r="BB46" s="221"/>
      <c r="BC46" s="221"/>
      <c r="BD46" s="221"/>
      <c r="BE46" s="221"/>
    </row>
    <row r="47" spans="1:57" s="226" customFormat="1" ht="15" customHeight="1" hidden="1">
      <c r="A47" s="425"/>
      <c r="B47" s="425"/>
      <c r="C47" s="425">
        <v>1833.76</v>
      </c>
      <c r="D47" s="425">
        <v>-208.25</v>
      </c>
      <c r="E47" s="425">
        <v>-13.93</v>
      </c>
      <c r="F47" s="425">
        <v>572.52</v>
      </c>
      <c r="G47" s="425"/>
      <c r="H47" s="425">
        <v>128.08</v>
      </c>
      <c r="I47" s="425">
        <v>42.22</v>
      </c>
      <c r="J47" s="425">
        <v>17.36</v>
      </c>
      <c r="K47" s="425">
        <v>-28.66</v>
      </c>
      <c r="L47" s="425">
        <v>-4.3</v>
      </c>
      <c r="M47" s="425">
        <v>-3.71</v>
      </c>
      <c r="N47" s="425">
        <v>5.84</v>
      </c>
      <c r="O47" s="425">
        <v>20.56</v>
      </c>
      <c r="P47" s="425">
        <v>14.43</v>
      </c>
      <c r="Q47" s="425">
        <v>62.86</v>
      </c>
      <c r="R47" s="425"/>
      <c r="S47" s="425"/>
      <c r="T47" s="425"/>
      <c r="U47" s="425">
        <v>268.84</v>
      </c>
      <c r="V47" s="425">
        <v>191</v>
      </c>
      <c r="W47" s="425"/>
      <c r="X47" s="425"/>
      <c r="Y47" s="425">
        <f>-2901.74+23.47</f>
        <v>-2878.27</v>
      </c>
      <c r="Z47" s="425"/>
      <c r="AA47" s="227"/>
      <c r="AD47" s="227"/>
      <c r="AE47" s="227"/>
      <c r="AF47" s="227"/>
      <c r="AG47" s="227"/>
      <c r="AH47" s="227"/>
      <c r="AI47" s="227"/>
      <c r="AJ47" s="227"/>
      <c r="AK47" s="227"/>
      <c r="AL47" s="227"/>
      <c r="AM47" s="227"/>
      <c r="AN47" s="227"/>
      <c r="AO47" s="227"/>
      <c r="AP47" s="227"/>
      <c r="AQ47" s="227"/>
      <c r="BB47" s="227"/>
      <c r="BC47" s="227"/>
      <c r="BD47" s="227"/>
      <c r="BE47" s="227"/>
    </row>
    <row r="48" spans="1:57" s="208" customFormat="1" ht="11.25" hidden="1">
      <c r="A48" s="535"/>
      <c r="B48" s="535"/>
      <c r="C48" s="535"/>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220"/>
      <c r="AB48" s="220"/>
      <c r="AC48" s="220"/>
      <c r="AD48" s="221"/>
      <c r="AE48" s="221"/>
      <c r="AF48" s="221"/>
      <c r="AG48" s="221"/>
      <c r="AH48" s="221"/>
      <c r="AI48" s="221"/>
      <c r="AJ48" s="221"/>
      <c r="AK48" s="205"/>
      <c r="AL48" s="221"/>
      <c r="AM48" s="221"/>
      <c r="AN48" s="221"/>
      <c r="AO48" s="221"/>
      <c r="AP48" s="221"/>
      <c r="AQ48" s="221"/>
      <c r="BB48" s="221"/>
      <c r="BC48" s="221"/>
      <c r="BD48" s="221"/>
      <c r="BE48" s="221"/>
    </row>
    <row r="49" spans="1:57" s="208" customFormat="1" ht="11.25" hidden="1">
      <c r="A49" s="426"/>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220"/>
      <c r="AB49" s="220"/>
      <c r="AC49" s="220"/>
      <c r="AD49" s="221"/>
      <c r="AE49" s="221"/>
      <c r="AF49" s="221"/>
      <c r="AG49" s="221"/>
      <c r="AH49" s="221"/>
      <c r="AI49" s="221"/>
      <c r="AJ49" s="221"/>
      <c r="AK49" s="205"/>
      <c r="AL49" s="221"/>
      <c r="AM49" s="221"/>
      <c r="AN49" s="221"/>
      <c r="AO49" s="221"/>
      <c r="AP49" s="221"/>
      <c r="AQ49" s="221"/>
      <c r="BB49" s="221"/>
      <c r="BC49" s="221"/>
      <c r="BD49" s="221"/>
      <c r="BE49" s="221"/>
    </row>
    <row r="50" spans="1:57" s="208" customFormat="1" ht="11.25" hidden="1">
      <c r="A50" s="427" t="s">
        <v>12</v>
      </c>
      <c r="B50" s="427"/>
      <c r="C50" s="68">
        <v>864.11</v>
      </c>
      <c r="D50" s="68">
        <v>0.02</v>
      </c>
      <c r="E50" s="68">
        <v>0</v>
      </c>
      <c r="F50" s="68">
        <v>226.51</v>
      </c>
      <c r="G50" s="68"/>
      <c r="H50" s="68">
        <v>0</v>
      </c>
      <c r="I50" s="68">
        <v>0</v>
      </c>
      <c r="J50" s="68">
        <v>7.54</v>
      </c>
      <c r="K50" s="68"/>
      <c r="L50" s="68"/>
      <c r="M50" s="68"/>
      <c r="N50" s="68"/>
      <c r="O50" s="68"/>
      <c r="P50" s="68"/>
      <c r="Q50" s="68"/>
      <c r="R50" s="68"/>
      <c r="S50" s="68"/>
      <c r="T50" s="68">
        <f>SUM(K50:Q50)</f>
        <v>0</v>
      </c>
      <c r="U50" s="68">
        <v>3.92</v>
      </c>
      <c r="V50" s="68"/>
      <c r="W50" s="68"/>
      <c r="X50" s="68">
        <v>0</v>
      </c>
      <c r="Y50" s="68">
        <f>3867.65+0.02</f>
        <v>3867.67</v>
      </c>
      <c r="Z50" s="188">
        <f>SUM(C50:Y50)-T50</f>
        <v>4969.77</v>
      </c>
      <c r="AA50" s="222"/>
      <c r="AB50" s="222"/>
      <c r="AC50" s="222"/>
      <c r="AD50" s="221"/>
      <c r="AE50" s="221"/>
      <c r="AF50" s="221"/>
      <c r="AG50" s="221"/>
      <c r="AH50" s="221"/>
      <c r="AI50" s="221"/>
      <c r="AJ50" s="221"/>
      <c r="AK50" s="221"/>
      <c r="AL50" s="221"/>
      <c r="AM50" s="221"/>
      <c r="AN50" s="221"/>
      <c r="AO50" s="221"/>
      <c r="AP50" s="221"/>
      <c r="AQ50" s="221"/>
      <c r="BB50" s="221"/>
      <c r="BC50" s="221"/>
      <c r="BD50" s="221"/>
      <c r="BE50" s="221"/>
    </row>
    <row r="51" spans="1:57" ht="11.25">
      <c r="A51" s="427"/>
      <c r="B51" s="427"/>
      <c r="C51" s="191" t="s">
        <v>313</v>
      </c>
      <c r="D51" s="191" t="s">
        <v>313</v>
      </c>
      <c r="E51" s="191" t="s">
        <v>313</v>
      </c>
      <c r="F51" s="191" t="s">
        <v>313</v>
      </c>
      <c r="G51" s="191"/>
      <c r="H51" s="191" t="s">
        <v>314</v>
      </c>
      <c r="I51" s="191" t="s">
        <v>314</v>
      </c>
      <c r="J51" s="191" t="s">
        <v>314</v>
      </c>
      <c r="K51" s="191"/>
      <c r="L51" s="191" t="s">
        <v>314</v>
      </c>
      <c r="M51" s="191"/>
      <c r="N51" s="191" t="s">
        <v>314</v>
      </c>
      <c r="O51" s="191" t="s">
        <v>313</v>
      </c>
      <c r="P51" s="191" t="s">
        <v>313</v>
      </c>
      <c r="Q51" s="191" t="s">
        <v>313</v>
      </c>
      <c r="R51" s="191"/>
      <c r="S51" s="191"/>
      <c r="T51" s="191" t="s">
        <v>313</v>
      </c>
      <c r="U51" s="191" t="s">
        <v>314</v>
      </c>
      <c r="V51" s="191" t="s">
        <v>314</v>
      </c>
      <c r="W51" s="191"/>
      <c r="X51" s="191"/>
      <c r="Y51" s="191"/>
      <c r="Z51" s="191" t="s">
        <v>12</v>
      </c>
      <c r="AA51" s="191"/>
      <c r="AB51" s="191"/>
      <c r="AC51" s="191"/>
      <c r="AD51" s="189"/>
      <c r="AE51" s="189"/>
      <c r="AF51" s="189"/>
      <c r="AG51" s="189"/>
      <c r="AH51" s="189"/>
      <c r="AI51" s="189"/>
      <c r="AJ51" s="189"/>
      <c r="AK51" s="189"/>
      <c r="AL51" s="189"/>
      <c r="AM51" s="189"/>
      <c r="AN51" s="189"/>
      <c r="AO51" s="189"/>
      <c r="AP51" s="189"/>
      <c r="AQ51" s="189"/>
      <c r="BB51" s="284"/>
      <c r="BC51" s="189"/>
      <c r="BD51" s="189"/>
      <c r="BE51" s="189"/>
    </row>
    <row r="52" spans="1:57" ht="11.25">
      <c r="A52" s="427"/>
      <c r="B52" s="427"/>
      <c r="C52" s="191"/>
      <c r="D52" s="191"/>
      <c r="E52" s="191"/>
      <c r="F52" s="191"/>
      <c r="G52" s="191"/>
      <c r="H52" s="191"/>
      <c r="I52" s="191"/>
      <c r="J52" s="191"/>
      <c r="K52" s="191"/>
      <c r="L52" s="191"/>
      <c r="M52" s="191"/>
      <c r="N52" s="191"/>
      <c r="O52" s="191"/>
      <c r="P52" s="191"/>
      <c r="Q52" s="191"/>
      <c r="R52" s="191"/>
      <c r="S52" s="191"/>
      <c r="T52" s="191"/>
      <c r="U52" s="191"/>
      <c r="V52" s="191"/>
      <c r="W52" s="191"/>
      <c r="X52" s="191"/>
      <c r="Y52" s="172" t="s">
        <v>290</v>
      </c>
      <c r="Z52" s="210">
        <f>'MARCH -15 final result'!H32</f>
        <v>-6469.57</v>
      </c>
      <c r="AA52" s="284"/>
      <c r="AB52" s="144"/>
      <c r="AC52" s="144"/>
      <c r="AD52" s="189"/>
      <c r="AE52" s="189"/>
      <c r="AF52" s="189"/>
      <c r="AG52" s="189"/>
      <c r="AH52" s="189"/>
      <c r="AI52" s="189"/>
      <c r="AJ52" s="189"/>
      <c r="AK52" s="189"/>
      <c r="AL52" s="189"/>
      <c r="AM52" s="189"/>
      <c r="AN52" s="189"/>
      <c r="AO52" s="189"/>
      <c r="AP52" s="189"/>
      <c r="AQ52" s="189"/>
      <c r="BB52" s="189"/>
      <c r="BC52" s="189"/>
      <c r="BD52" s="189"/>
      <c r="BE52" s="189"/>
    </row>
    <row r="53" spans="1:57" ht="11.25">
      <c r="A53" s="427"/>
      <c r="B53" s="427"/>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f>+Z26-Z52</f>
        <v>725.0830670091</v>
      </c>
      <c r="AA53" s="191"/>
      <c r="AB53" s="191"/>
      <c r="AC53" s="191"/>
      <c r="AD53" s="189"/>
      <c r="AE53" s="189"/>
      <c r="AF53" s="189"/>
      <c r="AG53" s="189"/>
      <c r="AH53" s="189"/>
      <c r="AI53" s="189"/>
      <c r="AJ53" s="189"/>
      <c r="AK53" s="189"/>
      <c r="AL53" s="189"/>
      <c r="AM53" s="189"/>
      <c r="AN53" s="189"/>
      <c r="AO53" s="189"/>
      <c r="AP53" s="189"/>
      <c r="AQ53" s="189"/>
      <c r="BB53" s="189"/>
      <c r="BC53" s="189"/>
      <c r="BD53" s="189"/>
      <c r="BE53" s="189"/>
    </row>
    <row r="54" spans="1:57" ht="12.75">
      <c r="A54" s="532" t="s">
        <v>11</v>
      </c>
      <c r="B54" s="532"/>
      <c r="C54" s="532"/>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392"/>
      <c r="AB54" s="392"/>
      <c r="AC54" s="392"/>
      <c r="AD54" s="189"/>
      <c r="AE54" s="189"/>
      <c r="AF54" s="189"/>
      <c r="AG54" s="189"/>
      <c r="AH54" s="189"/>
      <c r="AI54" s="189"/>
      <c r="AJ54" s="189"/>
      <c r="AK54" s="189"/>
      <c r="AL54" s="189"/>
      <c r="AM54" s="189"/>
      <c r="AN54" s="189"/>
      <c r="AO54" s="189"/>
      <c r="AP54" s="189"/>
      <c r="AQ54" s="189"/>
      <c r="BB54" s="189"/>
      <c r="BC54" s="189"/>
      <c r="BD54" s="189"/>
      <c r="BE54" s="189"/>
    </row>
    <row r="55" spans="1:57" ht="11.25">
      <c r="A55" s="427"/>
      <c r="B55" s="427"/>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v>7254.74</v>
      </c>
      <c r="AA55" s="395"/>
      <c r="AB55" s="395"/>
      <c r="AC55" s="395"/>
      <c r="AD55" s="189"/>
      <c r="AE55" s="189"/>
      <c r="AF55" s="189"/>
      <c r="AG55" s="189"/>
      <c r="AH55" s="189"/>
      <c r="AI55" s="189"/>
      <c r="AJ55" s="189"/>
      <c r="AK55" s="189"/>
      <c r="AL55" s="189"/>
      <c r="AM55" s="189"/>
      <c r="AN55" s="189"/>
      <c r="AO55" s="189"/>
      <c r="AP55" s="189"/>
      <c r="AQ55" s="189"/>
      <c r="BB55" s="189"/>
      <c r="BC55" s="189"/>
      <c r="BD55" s="189"/>
      <c r="BE55" s="189"/>
    </row>
    <row r="56" spans="1:57" ht="11.25">
      <c r="A56" s="427"/>
      <c r="B56" s="427"/>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89"/>
      <c r="AE56" s="189"/>
      <c r="AF56" s="189"/>
      <c r="AG56" s="189"/>
      <c r="AH56" s="189"/>
      <c r="AI56" s="189"/>
      <c r="AJ56" s="189"/>
      <c r="AK56" s="189"/>
      <c r="AL56" s="189"/>
      <c r="AM56" s="189"/>
      <c r="AN56" s="189"/>
      <c r="AO56" s="189"/>
      <c r="AP56" s="189"/>
      <c r="AQ56" s="189"/>
      <c r="BB56" s="189"/>
      <c r="BC56" s="189"/>
      <c r="BD56" s="189"/>
      <c r="BE56" s="189"/>
    </row>
    <row r="57" spans="1:57" ht="12.75">
      <c r="A57" s="413" t="s">
        <v>309</v>
      </c>
      <c r="B57" s="427"/>
      <c r="C57" s="427"/>
      <c r="D57" s="427"/>
      <c r="E57" s="427"/>
      <c r="F57" s="427"/>
      <c r="G57" s="427"/>
      <c r="H57" s="427"/>
      <c r="I57" s="427"/>
      <c r="J57" s="427"/>
      <c r="K57" s="427"/>
      <c r="L57" s="427"/>
      <c r="M57" s="427"/>
      <c r="N57" s="427"/>
      <c r="O57" s="427"/>
      <c r="P57" s="427"/>
      <c r="Q57" s="427"/>
      <c r="R57" s="427"/>
      <c r="S57" s="427"/>
      <c r="T57" s="427"/>
      <c r="U57" s="427"/>
      <c r="V57" s="427"/>
      <c r="W57" s="427" t="s">
        <v>304</v>
      </c>
      <c r="X57" s="427"/>
      <c r="Y57" s="427"/>
      <c r="Z57" s="427" t="s">
        <v>12</v>
      </c>
      <c r="AA57" s="411"/>
      <c r="AB57" s="14"/>
      <c r="AC57" s="14"/>
      <c r="AD57" s="189"/>
      <c r="AE57" s="189"/>
      <c r="AF57" s="189"/>
      <c r="AG57" s="189"/>
      <c r="AH57" s="189"/>
      <c r="AI57" s="189"/>
      <c r="AJ57" s="189"/>
      <c r="AK57" s="189"/>
      <c r="AL57" s="189"/>
      <c r="AM57" s="189"/>
      <c r="AN57" s="189"/>
      <c r="AO57" s="189"/>
      <c r="AP57" s="189"/>
      <c r="AQ57" s="189"/>
      <c r="BB57" s="189"/>
      <c r="BC57" s="189"/>
      <c r="BD57" s="189"/>
      <c r="BE57" s="189"/>
    </row>
    <row r="58" spans="1:57" ht="11.25">
      <c r="A58" s="427"/>
      <c r="B58" s="427" t="s">
        <v>12</v>
      </c>
      <c r="C58" s="427"/>
      <c r="D58" s="427"/>
      <c r="E58" s="427"/>
      <c r="F58" s="427"/>
      <c r="G58" s="427"/>
      <c r="H58" s="427"/>
      <c r="I58" s="427"/>
      <c r="J58" s="427"/>
      <c r="K58" s="427"/>
      <c r="L58" s="427"/>
      <c r="M58" s="427"/>
      <c r="N58" s="427"/>
      <c r="O58" s="427"/>
      <c r="P58" s="427"/>
      <c r="Q58" s="427"/>
      <c r="R58" s="427"/>
      <c r="S58" s="427"/>
      <c r="T58" s="427"/>
      <c r="U58" s="427"/>
      <c r="V58" s="427"/>
      <c r="W58" s="427"/>
      <c r="X58" s="427"/>
      <c r="Y58" s="427" t="s">
        <v>94</v>
      </c>
      <c r="Z58" s="427"/>
      <c r="AA58" s="411"/>
      <c r="AB58" s="14"/>
      <c r="AC58" s="14"/>
      <c r="AD58" s="189"/>
      <c r="AE58" s="189"/>
      <c r="AF58" s="189"/>
      <c r="AG58" s="189"/>
      <c r="AH58" s="189"/>
      <c r="AI58" s="189"/>
      <c r="AJ58" s="189"/>
      <c r="AK58" s="284"/>
      <c r="AL58" s="189"/>
      <c r="AM58" s="189"/>
      <c r="AN58" s="189"/>
      <c r="AO58" s="189"/>
      <c r="AP58" s="189"/>
      <c r="AQ58" s="189"/>
      <c r="BB58" s="189"/>
      <c r="BC58" s="189"/>
      <c r="BD58" s="189"/>
      <c r="BE58" s="189"/>
    </row>
    <row r="59" spans="1:57" ht="11.25">
      <c r="A59" s="536" t="s">
        <v>19</v>
      </c>
      <c r="B59" s="537" t="s">
        <v>15</v>
      </c>
      <c r="C59" s="428"/>
      <c r="D59" s="428"/>
      <c r="E59" s="428"/>
      <c r="F59" s="429" t="s">
        <v>29</v>
      </c>
      <c r="G59" s="429"/>
      <c r="H59" s="430"/>
      <c r="I59" s="430"/>
      <c r="J59" s="430"/>
      <c r="K59" s="430"/>
      <c r="L59" s="430"/>
      <c r="M59" s="430"/>
      <c r="N59" s="430"/>
      <c r="O59" s="430"/>
      <c r="P59" s="430"/>
      <c r="Q59" s="430"/>
      <c r="R59" s="430"/>
      <c r="S59" s="430"/>
      <c r="T59" s="430"/>
      <c r="U59" s="430"/>
      <c r="V59" s="430"/>
      <c r="W59" s="430"/>
      <c r="X59" s="430"/>
      <c r="Y59" s="431"/>
      <c r="Z59" s="414"/>
      <c r="AA59" s="400"/>
      <c r="AB59" s="400"/>
      <c r="AC59" s="400"/>
      <c r="AD59" s="189"/>
      <c r="AE59" s="189"/>
      <c r="AF59" s="189"/>
      <c r="AG59" s="189"/>
      <c r="AH59" s="189"/>
      <c r="AI59" s="189"/>
      <c r="AJ59" s="189"/>
      <c r="AK59" s="189"/>
      <c r="AL59" s="189"/>
      <c r="AM59" s="189"/>
      <c r="AN59" s="189"/>
      <c r="AO59" s="189"/>
      <c r="AP59" s="189"/>
      <c r="AQ59" s="189"/>
      <c r="BB59" s="189"/>
      <c r="BC59" s="189"/>
      <c r="BD59" s="189"/>
      <c r="BE59" s="189"/>
    </row>
    <row r="60" spans="1:57" ht="56.25">
      <c r="A60" s="536"/>
      <c r="B60" s="537"/>
      <c r="C60" s="432" t="str">
        <f>+C9</f>
        <v>The ORCHID Mumbai</v>
      </c>
      <c r="D60" s="432" t="str">
        <f aca="true" t="shared" si="12" ref="D60:Z60">+D9</f>
        <v>Fort- Jadhav Gadh, Pune</v>
      </c>
      <c r="E60" s="432" t="str">
        <f t="shared" si="12"/>
        <v>Fort Mahodhadhi Palace, Puri, Orissa</v>
      </c>
      <c r="F60" s="432" t="str">
        <f t="shared" si="12"/>
        <v>VITS, MUMBAI</v>
      </c>
      <c r="G60" s="432"/>
      <c r="H60" s="432" t="str">
        <f t="shared" si="12"/>
        <v>VITS-Nashik</v>
      </c>
      <c r="I60" s="432" t="str">
        <f t="shared" si="12"/>
        <v>Lotus Resort  Ramchandi, (Eco Village) Orissa</v>
      </c>
      <c r="J60" s="432" t="str">
        <f t="shared" si="12"/>
        <v>Lotus Beach Resort  -GOA</v>
      </c>
      <c r="K60" s="432" t="str">
        <f t="shared" si="12"/>
        <v>Vithal Kamats - Sanpada</v>
      </c>
      <c r="L60" s="432" t="str">
        <f t="shared" si="12"/>
        <v>Vithal Kamats - Wagunde-Budrak</v>
      </c>
      <c r="M60" s="432" t="str">
        <f t="shared" si="12"/>
        <v>Vithal Kamats - Kudal</v>
      </c>
      <c r="N60" s="432" t="str">
        <f t="shared" si="12"/>
        <v>Vithal Kamats - Nashik</v>
      </c>
      <c r="O60" s="432" t="str">
        <f t="shared" si="12"/>
        <v>Vithal Kamats - Panvel</v>
      </c>
      <c r="P60" s="432" t="str">
        <f t="shared" si="12"/>
        <v>Vithal Kamats - Pride India- Manor</v>
      </c>
      <c r="Q60" s="432" t="str">
        <f t="shared" si="12"/>
        <v>Vithal Kamats - TREEO- Manor</v>
      </c>
      <c r="R60" s="432" t="str">
        <f t="shared" si="12"/>
        <v>VKOFR-Frenchise</v>
      </c>
      <c r="S60" s="216" t="s">
        <v>245</v>
      </c>
      <c r="T60" s="432" t="str">
        <f t="shared" si="12"/>
        <v>VKOFR</v>
      </c>
      <c r="U60" s="432" t="str">
        <f t="shared" si="12"/>
        <v>Time Share Division</v>
      </c>
      <c r="V60" s="432" t="str">
        <f t="shared" si="12"/>
        <v>VITS- Corporate Office </v>
      </c>
      <c r="W60" s="432" t="str">
        <f t="shared" si="12"/>
        <v>Non Productive Assets </v>
      </c>
      <c r="X60" s="432" t="str">
        <f t="shared" si="12"/>
        <v>OHPPL</v>
      </c>
      <c r="Y60" s="433" t="str">
        <f t="shared" si="12"/>
        <v>Corporate Office</v>
      </c>
      <c r="Z60" s="434" t="str">
        <f t="shared" si="12"/>
        <v>Total of All Units</v>
      </c>
      <c r="AA60" s="393"/>
      <c r="AB60" s="393"/>
      <c r="AC60" s="393"/>
      <c r="AD60" s="189"/>
      <c r="AE60" s="189"/>
      <c r="AF60" s="189"/>
      <c r="AG60" s="189"/>
      <c r="AH60" s="189"/>
      <c r="AI60" s="189"/>
      <c r="AJ60" s="189"/>
      <c r="AK60" s="189"/>
      <c r="AL60" s="346"/>
      <c r="AM60" s="347"/>
      <c r="AN60" s="189"/>
      <c r="AO60" s="189"/>
      <c r="AP60" s="189"/>
      <c r="AQ60" s="189"/>
      <c r="BB60" s="189"/>
      <c r="BC60" s="189"/>
      <c r="BD60" s="189"/>
      <c r="BE60" s="189"/>
    </row>
    <row r="61" spans="1:57" ht="18" customHeight="1">
      <c r="A61" s="247">
        <v>1</v>
      </c>
      <c r="B61" s="435" t="s">
        <v>13</v>
      </c>
      <c r="C61" s="239">
        <v>3108.5</v>
      </c>
      <c r="D61" s="239">
        <v>400.2</v>
      </c>
      <c r="E61" s="239">
        <v>126.94</v>
      </c>
      <c r="F61" s="239">
        <v>1016.59</v>
      </c>
      <c r="G61" s="239"/>
      <c r="H61" s="239">
        <v>222.01</v>
      </c>
      <c r="I61" s="239">
        <v>92.41</v>
      </c>
      <c r="J61" s="239">
        <v>39.82</v>
      </c>
      <c r="K61" s="239"/>
      <c r="L61" s="239"/>
      <c r="M61" s="239"/>
      <c r="N61" s="239"/>
      <c r="O61" s="239">
        <v>62.94</v>
      </c>
      <c r="P61" s="239">
        <v>40.27</v>
      </c>
      <c r="Q61" s="239">
        <v>114.97</v>
      </c>
      <c r="R61" s="238"/>
      <c r="S61" s="238"/>
      <c r="T61" s="238">
        <f>SUM(K61:S61)</f>
        <v>218.18</v>
      </c>
      <c r="U61" s="239">
        <v>162.81</v>
      </c>
      <c r="V61" s="239">
        <v>97.71</v>
      </c>
      <c r="W61" s="238"/>
      <c r="X61" s="238"/>
      <c r="Y61" s="336">
        <f>14.16+7.48+0.02</f>
        <v>21.66</v>
      </c>
      <c r="Z61" s="358">
        <f>SUM(C61:Y61)-T61</f>
        <v>5506.83</v>
      </c>
      <c r="AA61" s="285"/>
      <c r="AB61" s="285"/>
      <c r="AC61" s="285"/>
      <c r="AD61" s="189"/>
      <c r="AE61" s="189"/>
      <c r="AF61" s="189"/>
      <c r="AG61" s="189"/>
      <c r="AH61" s="189"/>
      <c r="AI61" s="189"/>
      <c r="AJ61" s="189"/>
      <c r="AK61" s="189"/>
      <c r="AL61" s="212"/>
      <c r="AM61" s="348"/>
      <c r="AN61" s="284"/>
      <c r="AO61" s="189"/>
      <c r="AP61" s="189"/>
      <c r="AQ61" s="189"/>
      <c r="BB61" s="189"/>
      <c r="BC61" s="189"/>
      <c r="BD61" s="189"/>
      <c r="BE61" s="189"/>
    </row>
    <row r="62" spans="1:57" ht="18" customHeight="1">
      <c r="A62" s="247">
        <v>2</v>
      </c>
      <c r="B62" s="435" t="s">
        <v>71</v>
      </c>
      <c r="C62" s="239">
        <v>168.73</v>
      </c>
      <c r="D62" s="239">
        <f>58.39+0.01</f>
        <v>58.4</v>
      </c>
      <c r="E62" s="239">
        <v>0.37</v>
      </c>
      <c r="F62" s="239">
        <v>86.18</v>
      </c>
      <c r="G62" s="239"/>
      <c r="H62" s="239">
        <v>1.89</v>
      </c>
      <c r="I62" s="239">
        <v>0.46</v>
      </c>
      <c r="J62" s="239">
        <v>2.19</v>
      </c>
      <c r="K62" s="238"/>
      <c r="L62" s="239"/>
      <c r="M62" s="238"/>
      <c r="N62" s="239"/>
      <c r="O62" s="239">
        <v>0.4</v>
      </c>
      <c r="P62" s="239">
        <v>0.02</v>
      </c>
      <c r="Q62" s="239">
        <v>2.77</v>
      </c>
      <c r="R62" s="238"/>
      <c r="S62" s="238"/>
      <c r="T62" s="238">
        <f>SUM(K62:S62)</f>
        <v>3.19</v>
      </c>
      <c r="U62" s="238"/>
      <c r="V62" s="238"/>
      <c r="W62" s="238"/>
      <c r="X62" s="238"/>
      <c r="Y62" s="336">
        <f>3.78+23.4-0.01</f>
        <v>27.169999999999998</v>
      </c>
      <c r="Z62" s="358">
        <f>SUM(C62:Y62)-T62</f>
        <v>348.5799999999999</v>
      </c>
      <c r="AA62" s="285"/>
      <c r="AB62" s="285"/>
      <c r="AC62" s="285"/>
      <c r="AD62" s="189"/>
      <c r="AE62" s="189"/>
      <c r="AF62" s="189"/>
      <c r="AG62" s="189"/>
      <c r="AH62" s="189"/>
      <c r="AI62" s="189"/>
      <c r="AJ62" s="189"/>
      <c r="AK62" s="189"/>
      <c r="AL62" s="212"/>
      <c r="AM62" s="348"/>
      <c r="AN62" s="284"/>
      <c r="AO62" s="189"/>
      <c r="AP62" s="189"/>
      <c r="AQ62" s="189"/>
      <c r="BB62" s="189"/>
      <c r="BC62" s="189"/>
      <c r="BD62" s="189"/>
      <c r="BE62" s="189"/>
    </row>
    <row r="63" spans="1:57" ht="18" customHeight="1">
      <c r="A63" s="247">
        <v>3</v>
      </c>
      <c r="B63" s="435" t="s">
        <v>14</v>
      </c>
      <c r="C63" s="239">
        <v>4.11</v>
      </c>
      <c r="D63" s="239">
        <v>-0.01</v>
      </c>
      <c r="E63" s="239">
        <v>0.13</v>
      </c>
      <c r="F63" s="239">
        <v>0.57</v>
      </c>
      <c r="G63" s="239"/>
      <c r="H63" s="239">
        <f>1.02-0.04</f>
        <v>0.98</v>
      </c>
      <c r="I63" s="239">
        <v>0.24</v>
      </c>
      <c r="J63" s="239"/>
      <c r="K63" s="239"/>
      <c r="L63" s="239">
        <v>0.01</v>
      </c>
      <c r="M63" s="239"/>
      <c r="N63" s="239">
        <v>0.17</v>
      </c>
      <c r="O63" s="239">
        <v>0.05</v>
      </c>
      <c r="P63" s="238"/>
      <c r="Q63" s="239">
        <v>0.01</v>
      </c>
      <c r="R63" s="238"/>
      <c r="S63" s="238"/>
      <c r="T63" s="238">
        <f>SUM(K63:S63)</f>
        <v>0.24000000000000005</v>
      </c>
      <c r="U63" s="239">
        <v>4.22</v>
      </c>
      <c r="V63" s="238"/>
      <c r="W63" s="238"/>
      <c r="X63" s="238"/>
      <c r="Y63" s="336">
        <f>369.71+5.54+0.17+0+31.62</f>
        <v>407.04</v>
      </c>
      <c r="Z63" s="358">
        <f>SUM(C63:Y63)-T63</f>
        <v>417.52000000000004</v>
      </c>
      <c r="AA63" s="285"/>
      <c r="AB63" s="285"/>
      <c r="AC63" s="285"/>
      <c r="AD63" s="189"/>
      <c r="AE63" s="189"/>
      <c r="AF63" s="189"/>
      <c r="AG63" s="189"/>
      <c r="AH63" s="189"/>
      <c r="AI63" s="189"/>
      <c r="AJ63" s="189"/>
      <c r="AK63" s="189"/>
      <c r="AL63" s="212"/>
      <c r="AM63" s="348"/>
      <c r="AN63" s="284"/>
      <c r="AO63" s="189"/>
      <c r="AP63" s="189"/>
      <c r="AQ63" s="189"/>
      <c r="BB63" s="189"/>
      <c r="BC63" s="189"/>
      <c r="BD63" s="189"/>
      <c r="BE63" s="189"/>
    </row>
    <row r="64" spans="1:57" ht="18" customHeight="1">
      <c r="A64" s="247">
        <v>4</v>
      </c>
      <c r="B64" s="436" t="s">
        <v>18</v>
      </c>
      <c r="C64" s="70">
        <f>SUM(C61:C63)</f>
        <v>3281.34</v>
      </c>
      <c r="D64" s="70">
        <f aca="true" t="shared" si="13" ref="D64:Z64">SUM(D61:D63)</f>
        <v>458.59</v>
      </c>
      <c r="E64" s="70">
        <f t="shared" si="13"/>
        <v>127.44</v>
      </c>
      <c r="F64" s="70">
        <f t="shared" si="13"/>
        <v>1103.34</v>
      </c>
      <c r="G64" s="70"/>
      <c r="H64" s="70">
        <f t="shared" si="13"/>
        <v>224.87999999999997</v>
      </c>
      <c r="I64" s="70">
        <f t="shared" si="13"/>
        <v>93.10999999999999</v>
      </c>
      <c r="J64" s="70">
        <f t="shared" si="13"/>
        <v>42.01</v>
      </c>
      <c r="K64" s="70">
        <f t="shared" si="13"/>
        <v>0</v>
      </c>
      <c r="L64" s="70">
        <f t="shared" si="13"/>
        <v>0.01</v>
      </c>
      <c r="M64" s="70">
        <f t="shared" si="13"/>
        <v>0</v>
      </c>
      <c r="N64" s="70">
        <f t="shared" si="13"/>
        <v>0.17</v>
      </c>
      <c r="O64" s="70">
        <f t="shared" si="13"/>
        <v>63.38999999999999</v>
      </c>
      <c r="P64" s="70">
        <f t="shared" si="13"/>
        <v>40.290000000000006</v>
      </c>
      <c r="Q64" s="70">
        <f t="shared" si="13"/>
        <v>117.75</v>
      </c>
      <c r="R64" s="70">
        <f>SUM(R61:R63)</f>
        <v>0</v>
      </c>
      <c r="S64" s="70">
        <f>SUM(S61:S63)</f>
        <v>0</v>
      </c>
      <c r="T64" s="70">
        <f t="shared" si="13"/>
        <v>221.61</v>
      </c>
      <c r="U64" s="70">
        <f t="shared" si="13"/>
        <v>167.03</v>
      </c>
      <c r="V64" s="70">
        <f t="shared" si="13"/>
        <v>97.71</v>
      </c>
      <c r="W64" s="70">
        <f t="shared" si="13"/>
        <v>0</v>
      </c>
      <c r="X64" s="70">
        <f t="shared" si="13"/>
        <v>0</v>
      </c>
      <c r="Y64" s="187">
        <f t="shared" si="13"/>
        <v>455.87</v>
      </c>
      <c r="Z64" s="362">
        <f t="shared" si="13"/>
        <v>6272.93</v>
      </c>
      <c r="AA64" s="190"/>
      <c r="AB64" s="190"/>
      <c r="AC64" s="190"/>
      <c r="AD64" s="189"/>
      <c r="AE64" s="189"/>
      <c r="AF64" s="189"/>
      <c r="AG64" s="189"/>
      <c r="AH64" s="189"/>
      <c r="AI64" s="189"/>
      <c r="AJ64" s="189"/>
      <c r="AK64" s="190"/>
      <c r="AL64" s="190"/>
      <c r="AM64" s="349"/>
      <c r="AN64" s="189"/>
      <c r="AO64" s="284"/>
      <c r="AP64" s="189"/>
      <c r="AQ64" s="189"/>
      <c r="BB64" s="189"/>
      <c r="BC64" s="189"/>
      <c r="BD64" s="189"/>
      <c r="BE64" s="189"/>
    </row>
    <row r="65" spans="1:57" ht="18" customHeight="1">
      <c r="A65" s="247">
        <v>5</v>
      </c>
      <c r="B65" s="437" t="s">
        <v>34</v>
      </c>
      <c r="C65" s="435"/>
      <c r="D65" s="438" t="s">
        <v>12</v>
      </c>
      <c r="E65" s="435"/>
      <c r="F65" s="435"/>
      <c r="G65" s="435"/>
      <c r="H65" s="435"/>
      <c r="I65" s="435"/>
      <c r="J65" s="435"/>
      <c r="K65" s="435"/>
      <c r="L65" s="435"/>
      <c r="M65" s="435"/>
      <c r="N65" s="435"/>
      <c r="O65" s="435"/>
      <c r="P65" s="435"/>
      <c r="Q65" s="435"/>
      <c r="R65" s="435"/>
      <c r="S65" s="435"/>
      <c r="T65" s="435"/>
      <c r="U65" s="435"/>
      <c r="V65" s="435"/>
      <c r="W65" s="435"/>
      <c r="X65" s="435"/>
      <c r="Y65" s="439"/>
      <c r="Z65" s="363"/>
      <c r="AA65" s="213"/>
      <c r="AB65" s="213"/>
      <c r="AC65" s="213"/>
      <c r="AD65" s="189"/>
      <c r="AE65" s="189"/>
      <c r="AF65" s="189"/>
      <c r="AG65" s="189"/>
      <c r="AH65" s="189"/>
      <c r="AI65" s="189"/>
      <c r="AJ65" s="189"/>
      <c r="AK65" s="189"/>
      <c r="AL65" s="213"/>
      <c r="AM65" s="348"/>
      <c r="AN65" s="189"/>
      <c r="AO65" s="189"/>
      <c r="AP65" s="189"/>
      <c r="AQ65" s="189"/>
      <c r="BB65" s="189"/>
      <c r="BC65" s="189"/>
      <c r="BD65" s="189"/>
      <c r="BE65" s="189"/>
    </row>
    <row r="66" spans="1:57" ht="18" customHeight="1">
      <c r="A66" s="247" t="s">
        <v>21</v>
      </c>
      <c r="B66" s="435" t="s">
        <v>28</v>
      </c>
      <c r="C66" s="238">
        <v>259.43</v>
      </c>
      <c r="D66" s="238">
        <v>70.42</v>
      </c>
      <c r="E66" s="238">
        <v>29.95</v>
      </c>
      <c r="F66" s="238">
        <v>132.03</v>
      </c>
      <c r="G66" s="238"/>
      <c r="H66" s="238">
        <v>60.38</v>
      </c>
      <c r="I66" s="238">
        <v>14.96</v>
      </c>
      <c r="J66" s="238">
        <v>3.76</v>
      </c>
      <c r="K66" s="238"/>
      <c r="L66" s="238"/>
      <c r="M66" s="238"/>
      <c r="N66" s="238"/>
      <c r="O66" s="238">
        <v>17.24</v>
      </c>
      <c r="P66" s="238">
        <v>11.3</v>
      </c>
      <c r="Q66" s="238">
        <v>28.81</v>
      </c>
      <c r="R66" s="238"/>
      <c r="S66" s="238"/>
      <c r="T66" s="238">
        <f>SUM(K66:S66)</f>
        <v>57.349999999999994</v>
      </c>
      <c r="U66" s="238"/>
      <c r="V66" s="238"/>
      <c r="W66" s="238"/>
      <c r="X66" s="238"/>
      <c r="Y66" s="335"/>
      <c r="Z66" s="358">
        <f>SUM(C66:Y66)-T66</f>
        <v>628.28</v>
      </c>
      <c r="AA66" s="285"/>
      <c r="AB66" s="285"/>
      <c r="AC66" s="285"/>
      <c r="AD66" s="189"/>
      <c r="AE66" s="189"/>
      <c r="AF66" s="189"/>
      <c r="AG66" s="189"/>
      <c r="AH66" s="189"/>
      <c r="AI66" s="189"/>
      <c r="AJ66" s="189"/>
      <c r="AK66" s="189"/>
      <c r="AL66" s="212"/>
      <c r="AM66" s="350"/>
      <c r="AN66" s="189"/>
      <c r="AO66" s="189"/>
      <c r="AP66" s="189"/>
      <c r="AQ66" s="189"/>
      <c r="BB66" s="189"/>
      <c r="BC66" s="189"/>
      <c r="BD66" s="189"/>
      <c r="BE66" s="189"/>
    </row>
    <row r="67" spans="1:57" ht="18" customHeight="1">
      <c r="A67" s="247" t="s">
        <v>22</v>
      </c>
      <c r="B67" s="435" t="s">
        <v>25</v>
      </c>
      <c r="C67" s="238">
        <v>647.02</v>
      </c>
      <c r="D67" s="238">
        <v>112.96</v>
      </c>
      <c r="E67" s="238">
        <v>35.73</v>
      </c>
      <c r="F67" s="238">
        <v>297.92</v>
      </c>
      <c r="G67" s="238"/>
      <c r="H67" s="238">
        <v>62.01</v>
      </c>
      <c r="I67" s="238">
        <v>29.39</v>
      </c>
      <c r="J67" s="238">
        <v>30.03</v>
      </c>
      <c r="K67" s="238"/>
      <c r="L67" s="238">
        <v>0.21</v>
      </c>
      <c r="M67" s="238"/>
      <c r="N67" s="238">
        <v>-0.03</v>
      </c>
      <c r="O67" s="238">
        <v>16.36</v>
      </c>
      <c r="P67" s="238">
        <v>12.56</v>
      </c>
      <c r="Q67" s="238">
        <v>26.34</v>
      </c>
      <c r="R67" s="238"/>
      <c r="S67" s="238"/>
      <c r="T67" s="238">
        <f>SUM(K67:S67)</f>
        <v>55.44</v>
      </c>
      <c r="U67" s="238">
        <v>5.14</v>
      </c>
      <c r="V67" s="238">
        <v>53.8</v>
      </c>
      <c r="W67" s="238"/>
      <c r="X67" s="238"/>
      <c r="Y67" s="335">
        <f>253.69+4.38+21.27+0.01</f>
        <v>279.34999999999997</v>
      </c>
      <c r="Z67" s="358">
        <f>SUM(C67:Y67)-T67</f>
        <v>1608.79</v>
      </c>
      <c r="AA67" s="285"/>
      <c r="AB67" s="285"/>
      <c r="AC67" s="285"/>
      <c r="AD67" s="189"/>
      <c r="AE67" s="189"/>
      <c r="AF67" s="189"/>
      <c r="AG67" s="189"/>
      <c r="AH67" s="189"/>
      <c r="AI67" s="189"/>
      <c r="AJ67" s="189"/>
      <c r="AK67" s="189"/>
      <c r="AL67" s="212"/>
      <c r="AM67" s="350"/>
      <c r="AN67" s="189"/>
      <c r="AO67" s="189"/>
      <c r="AP67" s="189"/>
      <c r="AQ67" s="189"/>
      <c r="BB67" s="189"/>
      <c r="BC67" s="189"/>
      <c r="BD67" s="189"/>
      <c r="BE67" s="189"/>
    </row>
    <row r="68" spans="1:57" ht="18" customHeight="1">
      <c r="A68" s="247" t="s">
        <v>23</v>
      </c>
      <c r="B68" s="435" t="s">
        <v>26</v>
      </c>
      <c r="C68" s="238">
        <v>393.36</v>
      </c>
      <c r="D68" s="238">
        <v>58.71</v>
      </c>
      <c r="E68" s="238">
        <v>14.75</v>
      </c>
      <c r="F68" s="238">
        <v>299.51</v>
      </c>
      <c r="G68" s="238"/>
      <c r="H68" s="238">
        <v>23.6</v>
      </c>
      <c r="I68" s="238">
        <v>8.05</v>
      </c>
      <c r="J68" s="238">
        <v>4.03</v>
      </c>
      <c r="K68" s="238"/>
      <c r="L68" s="238"/>
      <c r="M68" s="238"/>
      <c r="N68" s="238"/>
      <c r="O68" s="238">
        <v>8.84</v>
      </c>
      <c r="P68" s="238">
        <v>5.83</v>
      </c>
      <c r="Q68" s="238">
        <v>10.22</v>
      </c>
      <c r="R68" s="238"/>
      <c r="S68" s="238"/>
      <c r="T68" s="238">
        <f>SUM(K68:S68)</f>
        <v>24.89</v>
      </c>
      <c r="U68" s="238"/>
      <c r="V68" s="238"/>
      <c r="W68" s="238"/>
      <c r="X68" s="238"/>
      <c r="Y68" s="335">
        <f>-1.55+0.03</f>
        <v>-1.52</v>
      </c>
      <c r="Z68" s="358">
        <f>SUM(C68:Y68)-T68</f>
        <v>825.38</v>
      </c>
      <c r="AA68" s="285"/>
      <c r="AB68" s="285"/>
      <c r="AC68" s="285"/>
      <c r="AD68" s="189"/>
      <c r="AE68" s="189"/>
      <c r="AF68" s="189"/>
      <c r="AG68" s="189"/>
      <c r="AH68" s="189"/>
      <c r="AI68" s="189"/>
      <c r="AJ68" s="189"/>
      <c r="AK68" s="189"/>
      <c r="AL68" s="212"/>
      <c r="AM68" s="350"/>
      <c r="AN68" s="189"/>
      <c r="AO68" s="189"/>
      <c r="AP68" s="189"/>
      <c r="AQ68" s="189"/>
      <c r="BB68" s="189"/>
      <c r="BC68" s="189"/>
      <c r="BD68" s="189"/>
      <c r="BE68" s="189"/>
    </row>
    <row r="69" spans="1:57" ht="18" customHeight="1">
      <c r="A69" s="247" t="s">
        <v>24</v>
      </c>
      <c r="B69" s="435" t="s">
        <v>27</v>
      </c>
      <c r="C69" s="238">
        <v>778.57</v>
      </c>
      <c r="D69" s="238">
        <v>154.18</v>
      </c>
      <c r="E69" s="238">
        <v>31.78</v>
      </c>
      <c r="F69" s="238">
        <v>313.26</v>
      </c>
      <c r="G69" s="238"/>
      <c r="H69" s="238">
        <f>40.3-0.04</f>
        <v>40.26</v>
      </c>
      <c r="I69" s="238">
        <v>23.31</v>
      </c>
      <c r="J69" s="238">
        <v>18.08</v>
      </c>
      <c r="K69" s="238"/>
      <c r="L69" s="238">
        <v>0.05</v>
      </c>
      <c r="M69" s="238"/>
      <c r="N69" s="238">
        <v>0.58</v>
      </c>
      <c r="O69" s="238">
        <v>11.98</v>
      </c>
      <c r="P69" s="238">
        <v>10.31</v>
      </c>
      <c r="Q69" s="238">
        <v>22.76</v>
      </c>
      <c r="R69" s="238"/>
      <c r="S69" s="238"/>
      <c r="T69" s="238">
        <f>SUM(K69:S69)</f>
        <v>45.68000000000001</v>
      </c>
      <c r="U69" s="238">
        <v>44.36</v>
      </c>
      <c r="V69" s="238">
        <v>12.05</v>
      </c>
      <c r="W69" s="238"/>
      <c r="X69" s="238"/>
      <c r="Y69" s="335">
        <f>127.36+0.83+8.66+0.27</f>
        <v>137.12</v>
      </c>
      <c r="Z69" s="358">
        <f>SUM(C69:Y69)-T69</f>
        <v>1598.6499999999994</v>
      </c>
      <c r="AA69" s="285"/>
      <c r="AB69" s="285"/>
      <c r="AC69" s="285"/>
      <c r="AD69" s="189"/>
      <c r="AE69" s="189"/>
      <c r="AF69" s="189"/>
      <c r="AG69" s="189"/>
      <c r="AH69" s="189"/>
      <c r="AI69" s="189"/>
      <c r="AJ69" s="189"/>
      <c r="AK69" s="189"/>
      <c r="AL69" s="212"/>
      <c r="AM69" s="350"/>
      <c r="AN69" s="284"/>
      <c r="AO69" s="189"/>
      <c r="AP69" s="189"/>
      <c r="AQ69" s="189"/>
      <c r="BB69" s="189"/>
      <c r="BC69" s="189"/>
      <c r="BD69" s="189"/>
      <c r="BE69" s="189"/>
    </row>
    <row r="70" spans="1:57" ht="18" customHeight="1">
      <c r="A70" s="247"/>
      <c r="B70" s="436" t="s">
        <v>164</v>
      </c>
      <c r="C70" s="70">
        <f aca="true" t="shared" si="14" ref="C70:Y70">SUM(C66:C69)</f>
        <v>2078.38</v>
      </c>
      <c r="D70" s="70">
        <f t="shared" si="14"/>
        <v>396.27</v>
      </c>
      <c r="E70" s="70">
        <f t="shared" si="14"/>
        <v>112.21</v>
      </c>
      <c r="F70" s="70">
        <f t="shared" si="14"/>
        <v>1042.72</v>
      </c>
      <c r="G70" s="70"/>
      <c r="H70" s="70">
        <f t="shared" si="14"/>
        <v>186.25</v>
      </c>
      <c r="I70" s="70">
        <f t="shared" si="14"/>
        <v>75.71000000000001</v>
      </c>
      <c r="J70" s="70">
        <f t="shared" si="14"/>
        <v>55.9</v>
      </c>
      <c r="K70" s="70">
        <f t="shared" si="14"/>
        <v>0</v>
      </c>
      <c r="L70" s="70">
        <f t="shared" si="14"/>
        <v>0.26</v>
      </c>
      <c r="M70" s="70">
        <f t="shared" si="14"/>
        <v>0</v>
      </c>
      <c r="N70" s="70">
        <f t="shared" si="14"/>
        <v>0.5499999999999999</v>
      </c>
      <c r="O70" s="70">
        <f t="shared" si="14"/>
        <v>54.42</v>
      </c>
      <c r="P70" s="70">
        <f t="shared" si="14"/>
        <v>40</v>
      </c>
      <c r="Q70" s="70">
        <f t="shared" si="14"/>
        <v>88.13000000000001</v>
      </c>
      <c r="R70" s="70">
        <f>SUM(R66:R69)</f>
        <v>0</v>
      </c>
      <c r="S70" s="70">
        <f>SUM(S66:S69)</f>
        <v>0</v>
      </c>
      <c r="T70" s="70">
        <f t="shared" si="14"/>
        <v>183.36</v>
      </c>
      <c r="U70" s="70">
        <f t="shared" si="14"/>
        <v>49.5</v>
      </c>
      <c r="V70" s="70">
        <f t="shared" si="14"/>
        <v>65.85</v>
      </c>
      <c r="W70" s="70">
        <f t="shared" si="14"/>
        <v>0</v>
      </c>
      <c r="X70" s="70">
        <f t="shared" si="14"/>
        <v>0</v>
      </c>
      <c r="Y70" s="187">
        <f t="shared" si="14"/>
        <v>414.95</v>
      </c>
      <c r="Z70" s="362">
        <f>SUM(Z66:Z69)</f>
        <v>4661.099999999999</v>
      </c>
      <c r="AA70" s="190"/>
      <c r="AB70" s="190"/>
      <c r="AC70" s="190"/>
      <c r="AD70" s="189"/>
      <c r="AE70" s="189"/>
      <c r="AF70" s="189"/>
      <c r="AG70" s="189"/>
      <c r="AH70" s="189"/>
      <c r="AI70" s="189"/>
      <c r="AJ70" s="189"/>
      <c r="AK70" s="190"/>
      <c r="AL70" s="190"/>
      <c r="AM70" s="349"/>
      <c r="AN70" s="189"/>
      <c r="AO70" s="189"/>
      <c r="AP70" s="189"/>
      <c r="AQ70" s="189"/>
      <c r="BB70" s="189"/>
      <c r="BC70" s="189"/>
      <c r="BD70" s="189"/>
      <c r="BE70" s="189"/>
    </row>
    <row r="71" spans="1:57" ht="18" customHeight="1">
      <c r="A71" s="247">
        <v>6</v>
      </c>
      <c r="B71" s="435" t="s">
        <v>17</v>
      </c>
      <c r="C71" s="68">
        <f>+C64-C70</f>
        <v>1202.96</v>
      </c>
      <c r="D71" s="68">
        <f aca="true" t="shared" si="15" ref="D71:Y71">+D64-D70</f>
        <v>62.31999999999999</v>
      </c>
      <c r="E71" s="68">
        <f t="shared" si="15"/>
        <v>15.230000000000004</v>
      </c>
      <c r="F71" s="68">
        <f t="shared" si="15"/>
        <v>60.61999999999989</v>
      </c>
      <c r="G71" s="68"/>
      <c r="H71" s="68">
        <f t="shared" si="15"/>
        <v>38.62999999999997</v>
      </c>
      <c r="I71" s="68">
        <f t="shared" si="15"/>
        <v>17.399999999999977</v>
      </c>
      <c r="J71" s="68">
        <f t="shared" si="15"/>
        <v>-13.89</v>
      </c>
      <c r="K71" s="68">
        <f t="shared" si="15"/>
        <v>0</v>
      </c>
      <c r="L71" s="68">
        <f t="shared" si="15"/>
        <v>-0.25</v>
      </c>
      <c r="M71" s="68">
        <f t="shared" si="15"/>
        <v>0</v>
      </c>
      <c r="N71" s="68">
        <f t="shared" si="15"/>
        <v>-0.3799999999999999</v>
      </c>
      <c r="O71" s="68">
        <f t="shared" si="15"/>
        <v>8.969999999999992</v>
      </c>
      <c r="P71" s="68">
        <f t="shared" si="15"/>
        <v>0.29000000000000625</v>
      </c>
      <c r="Q71" s="68">
        <f t="shared" si="15"/>
        <v>29.61999999999999</v>
      </c>
      <c r="R71" s="68">
        <f t="shared" si="15"/>
        <v>0</v>
      </c>
      <c r="S71" s="68"/>
      <c r="T71" s="68">
        <f>SUM(K71:S71)</f>
        <v>38.249999999999986</v>
      </c>
      <c r="U71" s="68">
        <f t="shared" si="15"/>
        <v>117.53</v>
      </c>
      <c r="V71" s="68">
        <f t="shared" si="15"/>
        <v>31.86</v>
      </c>
      <c r="W71" s="68">
        <f t="shared" si="15"/>
        <v>0</v>
      </c>
      <c r="X71" s="68">
        <f t="shared" si="15"/>
        <v>0</v>
      </c>
      <c r="Y71" s="188">
        <f t="shared" si="15"/>
        <v>40.920000000000016</v>
      </c>
      <c r="Z71" s="364">
        <f>+Z64-Z70</f>
        <v>1611.8300000000008</v>
      </c>
      <c r="AA71" s="191"/>
      <c r="AB71" s="191"/>
      <c r="AC71" s="191"/>
      <c r="AD71" s="189"/>
      <c r="AE71" s="189"/>
      <c r="AF71" s="189"/>
      <c r="AG71" s="189"/>
      <c r="AH71" s="189"/>
      <c r="AI71" s="189"/>
      <c r="AJ71" s="189"/>
      <c r="AK71" s="191"/>
      <c r="AL71" s="191"/>
      <c r="AM71" s="351"/>
      <c r="AN71" s="189"/>
      <c r="AO71" s="189"/>
      <c r="AP71" s="189"/>
      <c r="AQ71" s="189"/>
      <c r="BB71" s="189"/>
      <c r="BC71" s="189"/>
      <c r="BD71" s="189"/>
      <c r="BE71" s="189"/>
    </row>
    <row r="72" spans="1:57" ht="18" customHeight="1">
      <c r="A72" s="247">
        <v>7</v>
      </c>
      <c r="B72" s="440" t="s">
        <v>42</v>
      </c>
      <c r="C72" s="238">
        <f>393.17+25.4</f>
        <v>418.57</v>
      </c>
      <c r="D72" s="238">
        <v>149.31</v>
      </c>
      <c r="E72" s="238">
        <v>0.11</v>
      </c>
      <c r="F72" s="238">
        <v>265.14</v>
      </c>
      <c r="G72" s="238"/>
      <c r="H72" s="238">
        <v>15.52</v>
      </c>
      <c r="I72" s="238">
        <v>13.15</v>
      </c>
      <c r="J72" s="238">
        <v>13.77</v>
      </c>
      <c r="K72" s="238"/>
      <c r="L72" s="238">
        <v>0.55</v>
      </c>
      <c r="M72" s="238">
        <v>0</v>
      </c>
      <c r="N72" s="238">
        <v>0.05</v>
      </c>
      <c r="O72" s="238">
        <v>11.79</v>
      </c>
      <c r="P72" s="238">
        <v>1.7</v>
      </c>
      <c r="Q72" s="238">
        <v>0.76</v>
      </c>
      <c r="R72" s="238"/>
      <c r="S72" s="238"/>
      <c r="T72" s="238">
        <f>SUM(K72:S72)</f>
        <v>14.849999999999998</v>
      </c>
      <c r="U72" s="238"/>
      <c r="V72" s="238">
        <v>0</v>
      </c>
      <c r="W72" s="238"/>
      <c r="X72" s="238"/>
      <c r="Y72" s="335">
        <f>62.8+1.84</f>
        <v>64.64</v>
      </c>
      <c r="Z72" s="358">
        <f>SUM(C72:Y72)-T72</f>
        <v>955.0599999999998</v>
      </c>
      <c r="AA72" s="285"/>
      <c r="AB72" s="285"/>
      <c r="AC72" s="285"/>
      <c r="AD72" s="189"/>
      <c r="AE72" s="189"/>
      <c r="AF72" s="189"/>
      <c r="AG72" s="189"/>
      <c r="AH72" s="189"/>
      <c r="AI72" s="189"/>
      <c r="AJ72" s="189"/>
      <c r="AK72" s="189"/>
      <c r="AL72" s="212"/>
      <c r="AM72" s="350"/>
      <c r="AN72" s="189"/>
      <c r="AO72" s="189"/>
      <c r="AP72" s="189"/>
      <c r="AQ72" s="189"/>
      <c r="BB72" s="189"/>
      <c r="BC72" s="189"/>
      <c r="BD72" s="189"/>
      <c r="BE72" s="189"/>
    </row>
    <row r="73" spans="1:57" ht="28.5" customHeight="1">
      <c r="A73" s="246">
        <v>8</v>
      </c>
      <c r="B73" s="217" t="s">
        <v>174</v>
      </c>
      <c r="C73" s="70">
        <f>+C71-C72</f>
        <v>784.3900000000001</v>
      </c>
      <c r="D73" s="70">
        <f aca="true" t="shared" si="16" ref="D73:Z73">+D71-D72</f>
        <v>-86.99000000000001</v>
      </c>
      <c r="E73" s="70">
        <f t="shared" si="16"/>
        <v>15.120000000000005</v>
      </c>
      <c r="F73" s="70">
        <f t="shared" si="16"/>
        <v>-204.5200000000001</v>
      </c>
      <c r="G73" s="70"/>
      <c r="H73" s="70">
        <f t="shared" si="16"/>
        <v>23.109999999999967</v>
      </c>
      <c r="I73" s="70">
        <f t="shared" si="16"/>
        <v>4.249999999999977</v>
      </c>
      <c r="J73" s="70">
        <f t="shared" si="16"/>
        <v>-27.66</v>
      </c>
      <c r="K73" s="70">
        <f t="shared" si="16"/>
        <v>0</v>
      </c>
      <c r="L73" s="70">
        <f t="shared" si="16"/>
        <v>-0.8</v>
      </c>
      <c r="M73" s="70">
        <f t="shared" si="16"/>
        <v>0</v>
      </c>
      <c r="N73" s="70">
        <f t="shared" si="16"/>
        <v>-0.4299999999999999</v>
      </c>
      <c r="O73" s="70">
        <f t="shared" si="16"/>
        <v>-2.8200000000000074</v>
      </c>
      <c r="P73" s="70">
        <f t="shared" si="16"/>
        <v>-1.4099999999999937</v>
      </c>
      <c r="Q73" s="70">
        <f t="shared" si="16"/>
        <v>28.85999999999999</v>
      </c>
      <c r="R73" s="70">
        <f t="shared" si="16"/>
        <v>0</v>
      </c>
      <c r="S73" s="70">
        <f>+S71-S72</f>
        <v>0</v>
      </c>
      <c r="T73" s="70">
        <f t="shared" si="16"/>
        <v>23.399999999999988</v>
      </c>
      <c r="U73" s="70">
        <f t="shared" si="16"/>
        <v>117.53</v>
      </c>
      <c r="V73" s="70">
        <f t="shared" si="16"/>
        <v>31.86</v>
      </c>
      <c r="W73" s="70">
        <f t="shared" si="16"/>
        <v>0</v>
      </c>
      <c r="X73" s="70">
        <f t="shared" si="16"/>
        <v>0</v>
      </c>
      <c r="Y73" s="187">
        <f t="shared" si="16"/>
        <v>-23.719999999999985</v>
      </c>
      <c r="Z73" s="362">
        <f t="shared" si="16"/>
        <v>656.770000000001</v>
      </c>
      <c r="AA73" s="190"/>
      <c r="AB73" s="190"/>
      <c r="AC73" s="190"/>
      <c r="AD73" s="189"/>
      <c r="AE73" s="189"/>
      <c r="AF73" s="189"/>
      <c r="AG73" s="189"/>
      <c r="AH73" s="189"/>
      <c r="AI73" s="189"/>
      <c r="AJ73" s="189"/>
      <c r="AK73" s="189"/>
      <c r="AL73" s="190"/>
      <c r="AM73" s="349"/>
      <c r="AN73" s="189"/>
      <c r="AO73" s="189"/>
      <c r="AP73" s="189"/>
      <c r="AQ73" s="189"/>
      <c r="BB73" s="189"/>
      <c r="BC73" s="189"/>
      <c r="BD73" s="189"/>
      <c r="BE73" s="189"/>
    </row>
    <row r="74" spans="1:57" ht="33" customHeight="1">
      <c r="A74" s="422">
        <v>9</v>
      </c>
      <c r="B74" s="262" t="s">
        <v>238</v>
      </c>
      <c r="C74" s="240">
        <v>1423.37</v>
      </c>
      <c r="D74" s="240">
        <v>307.2</v>
      </c>
      <c r="E74" s="240">
        <v>0.35</v>
      </c>
      <c r="F74" s="240">
        <v>650.634</v>
      </c>
      <c r="G74" s="240"/>
      <c r="H74" s="240">
        <v>18.73</v>
      </c>
      <c r="I74" s="240">
        <v>8.38</v>
      </c>
      <c r="J74" s="240">
        <v>14.27</v>
      </c>
      <c r="K74" s="240"/>
      <c r="L74" s="240"/>
      <c r="M74" s="240"/>
      <c r="N74" s="240"/>
      <c r="O74" s="240"/>
      <c r="P74" s="240"/>
      <c r="Q74" s="240"/>
      <c r="R74" s="240">
        <v>0</v>
      </c>
      <c r="S74" s="240">
        <v>11.45</v>
      </c>
      <c r="T74" s="240">
        <f>SUM(K74:S74)</f>
        <v>11.45</v>
      </c>
      <c r="U74" s="240">
        <v>0</v>
      </c>
      <c r="V74" s="240">
        <v>0</v>
      </c>
      <c r="W74" s="240">
        <v>41.87</v>
      </c>
      <c r="X74" s="240">
        <v>1819.58</v>
      </c>
      <c r="Y74" s="338">
        <v>2180.08</v>
      </c>
      <c r="Z74" s="360">
        <f>SUM(C74:Y74)-T74</f>
        <v>6475.914</v>
      </c>
      <c r="AA74" s="285"/>
      <c r="AB74" s="285"/>
      <c r="AC74" s="285"/>
      <c r="AD74" s="189"/>
      <c r="AE74" s="189"/>
      <c r="AF74" s="189"/>
      <c r="AG74" s="189"/>
      <c r="AH74" s="189"/>
      <c r="AI74" s="189"/>
      <c r="AJ74" s="189"/>
      <c r="AK74" s="189"/>
      <c r="AL74" s="212"/>
      <c r="AM74" s="350"/>
      <c r="AN74" s="189"/>
      <c r="AO74" s="189"/>
      <c r="AP74" s="189"/>
      <c r="AQ74" s="189"/>
      <c r="BB74" s="189"/>
      <c r="BC74" s="189"/>
      <c r="BD74" s="189"/>
      <c r="BE74" s="189"/>
    </row>
    <row r="75" spans="1:57" ht="18" customHeight="1">
      <c r="A75" s="441">
        <v>10</v>
      </c>
      <c r="B75" s="260" t="s">
        <v>109</v>
      </c>
      <c r="C75" s="261">
        <v>0</v>
      </c>
      <c r="D75" s="261">
        <v>0</v>
      </c>
      <c r="E75" s="261">
        <v>0</v>
      </c>
      <c r="F75" s="261">
        <v>0</v>
      </c>
      <c r="G75" s="261"/>
      <c r="H75" s="261">
        <v>0</v>
      </c>
      <c r="I75" s="261">
        <v>0</v>
      </c>
      <c r="J75" s="261"/>
      <c r="K75" s="261">
        <v>0</v>
      </c>
      <c r="L75" s="261"/>
      <c r="M75" s="261">
        <v>0</v>
      </c>
      <c r="N75" s="261"/>
      <c r="O75" s="261"/>
      <c r="P75" s="261"/>
      <c r="Q75" s="261"/>
      <c r="R75" s="261">
        <v>0</v>
      </c>
      <c r="S75" s="261"/>
      <c r="T75" s="240">
        <v>0</v>
      </c>
      <c r="U75" s="261">
        <v>0</v>
      </c>
      <c r="V75" s="261">
        <v>0</v>
      </c>
      <c r="W75" s="261"/>
      <c r="X75" s="261"/>
      <c r="Y75" s="339">
        <v>0</v>
      </c>
      <c r="Z75" s="261">
        <f>SUM(C75:Y75)-T75</f>
        <v>0</v>
      </c>
      <c r="AA75" s="285"/>
      <c r="AB75" s="285"/>
      <c r="AC75" s="285"/>
      <c r="AD75" s="189"/>
      <c r="AE75" s="189"/>
      <c r="AF75" s="189"/>
      <c r="AG75" s="189"/>
      <c r="AH75" s="189"/>
      <c r="AI75" s="189"/>
      <c r="AJ75" s="189"/>
      <c r="AK75" s="189"/>
      <c r="AL75" s="213"/>
      <c r="AM75" s="348"/>
      <c r="AN75" s="189"/>
      <c r="AO75" s="189"/>
      <c r="AP75" s="189"/>
      <c r="AQ75" s="189"/>
      <c r="BB75" s="189"/>
      <c r="BC75" s="189"/>
      <c r="BD75" s="189"/>
      <c r="BE75" s="189"/>
    </row>
    <row r="76" spans="1:57" ht="18" customHeight="1" hidden="1">
      <c r="A76" s="441">
        <v>12</v>
      </c>
      <c r="B76" s="260" t="s">
        <v>248</v>
      </c>
      <c r="C76" s="261"/>
      <c r="D76" s="261"/>
      <c r="E76" s="261"/>
      <c r="F76" s="261"/>
      <c r="G76" s="261"/>
      <c r="H76" s="261"/>
      <c r="I76" s="261"/>
      <c r="J76" s="261"/>
      <c r="K76" s="261"/>
      <c r="L76" s="261"/>
      <c r="M76" s="261"/>
      <c r="N76" s="261"/>
      <c r="O76" s="261"/>
      <c r="P76" s="261"/>
      <c r="Q76" s="261"/>
      <c r="R76" s="261">
        <v>0</v>
      </c>
      <c r="S76" s="261"/>
      <c r="T76" s="261">
        <v>0</v>
      </c>
      <c r="U76" s="261"/>
      <c r="V76" s="261"/>
      <c r="W76" s="261"/>
      <c r="X76" s="261"/>
      <c r="Y76" s="339">
        <v>0</v>
      </c>
      <c r="Z76" s="261">
        <f>SUM(C76:Y76)-T76</f>
        <v>0</v>
      </c>
      <c r="AA76" s="285"/>
      <c r="AB76" s="285"/>
      <c r="AC76" s="285"/>
      <c r="AD76" s="189"/>
      <c r="AE76" s="189"/>
      <c r="AF76" s="189"/>
      <c r="AG76" s="189"/>
      <c r="AH76" s="189"/>
      <c r="AI76" s="189"/>
      <c r="AJ76" s="189"/>
      <c r="AK76" s="189"/>
      <c r="AL76" s="213"/>
      <c r="AM76" s="348"/>
      <c r="AN76" s="189"/>
      <c r="AO76" s="189"/>
      <c r="AP76" s="189"/>
      <c r="AQ76" s="189"/>
      <c r="BB76" s="189"/>
      <c r="BC76" s="189"/>
      <c r="BD76" s="189"/>
      <c r="BE76" s="189"/>
    </row>
    <row r="77" spans="1:57" ht="27" customHeight="1">
      <c r="A77" s="442">
        <v>11</v>
      </c>
      <c r="B77" s="218" t="s">
        <v>148</v>
      </c>
      <c r="C77" s="241">
        <f>+C73-C74+C75-C76</f>
        <v>-638.9799999999998</v>
      </c>
      <c r="D77" s="241">
        <f aca="true" t="shared" si="17" ref="D77:Z77">+D73-D74+D75-D76</f>
        <v>-394.19</v>
      </c>
      <c r="E77" s="241">
        <f t="shared" si="17"/>
        <v>14.770000000000005</v>
      </c>
      <c r="F77" s="241">
        <f t="shared" si="17"/>
        <v>-855.1540000000001</v>
      </c>
      <c r="G77" s="241"/>
      <c r="H77" s="241">
        <f t="shared" si="17"/>
        <v>4.379999999999967</v>
      </c>
      <c r="I77" s="241">
        <f t="shared" si="17"/>
        <v>-4.130000000000024</v>
      </c>
      <c r="J77" s="241">
        <f t="shared" si="17"/>
        <v>-41.93</v>
      </c>
      <c r="K77" s="241">
        <f t="shared" si="17"/>
        <v>0</v>
      </c>
      <c r="L77" s="241">
        <f t="shared" si="17"/>
        <v>-0.8</v>
      </c>
      <c r="M77" s="241">
        <f t="shared" si="17"/>
        <v>0</v>
      </c>
      <c r="N77" s="241">
        <f t="shared" si="17"/>
        <v>-0.4299999999999999</v>
      </c>
      <c r="O77" s="241">
        <f t="shared" si="17"/>
        <v>-2.8200000000000074</v>
      </c>
      <c r="P77" s="241">
        <f t="shared" si="17"/>
        <v>-1.4099999999999937</v>
      </c>
      <c r="Q77" s="241">
        <f t="shared" si="17"/>
        <v>28.85999999999999</v>
      </c>
      <c r="R77" s="241">
        <f t="shared" si="17"/>
        <v>0</v>
      </c>
      <c r="S77" s="241">
        <f t="shared" si="17"/>
        <v>-11.45</v>
      </c>
      <c r="T77" s="241">
        <f t="shared" si="17"/>
        <v>11.949999999999989</v>
      </c>
      <c r="U77" s="241">
        <f t="shared" si="17"/>
        <v>117.53</v>
      </c>
      <c r="V77" s="241">
        <f t="shared" si="17"/>
        <v>31.86</v>
      </c>
      <c r="W77" s="241">
        <f t="shared" si="17"/>
        <v>-41.87</v>
      </c>
      <c r="X77" s="241">
        <f t="shared" si="17"/>
        <v>-1819.58</v>
      </c>
      <c r="Y77" s="340">
        <f t="shared" si="17"/>
        <v>-2203.7999999999997</v>
      </c>
      <c r="Z77" s="361">
        <f t="shared" si="17"/>
        <v>-5819.143999999998</v>
      </c>
      <c r="AA77" s="387"/>
      <c r="AB77" s="387"/>
      <c r="AC77" s="387"/>
      <c r="AD77" s="189"/>
      <c r="AE77" s="189"/>
      <c r="AF77" s="189"/>
      <c r="AG77" s="189"/>
      <c r="AH77" s="189"/>
      <c r="AI77" s="189"/>
      <c r="AJ77" s="189"/>
      <c r="AK77" s="190"/>
      <c r="AL77" s="190"/>
      <c r="AM77" s="349"/>
      <c r="AN77" s="189"/>
      <c r="AO77" s="189"/>
      <c r="AP77" s="189"/>
      <c r="AQ77" s="189"/>
      <c r="BB77" s="284"/>
      <c r="BC77" s="189"/>
      <c r="BD77" s="189"/>
      <c r="BE77" s="189"/>
    </row>
    <row r="78" spans="1:57" ht="18" customHeight="1" hidden="1">
      <c r="A78" s="441">
        <v>11</v>
      </c>
      <c r="B78" s="443" t="s">
        <v>109</v>
      </c>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341"/>
      <c r="AA78" s="190"/>
      <c r="AB78" s="190"/>
      <c r="AC78" s="190"/>
      <c r="AD78" s="189"/>
      <c r="AE78" s="189"/>
      <c r="AF78" s="189"/>
      <c r="AG78" s="189"/>
      <c r="AH78" s="189"/>
      <c r="AI78" s="189"/>
      <c r="AJ78" s="189"/>
      <c r="AK78" s="189"/>
      <c r="AL78" s="213"/>
      <c r="AM78" s="348"/>
      <c r="AN78" s="189"/>
      <c r="AO78" s="189"/>
      <c r="AP78" s="189"/>
      <c r="AQ78" s="189"/>
      <c r="BB78" s="189"/>
      <c r="BC78" s="189"/>
      <c r="BD78" s="189"/>
      <c r="BE78" s="189"/>
    </row>
    <row r="79" spans="1:57" ht="38.25" customHeight="1" hidden="1">
      <c r="A79" s="416"/>
      <c r="B79" s="444" t="s">
        <v>145</v>
      </c>
      <c r="C79" s="445"/>
      <c r="D79" s="445"/>
      <c r="E79" s="445"/>
      <c r="F79" s="445"/>
      <c r="G79" s="445"/>
      <c r="H79" s="445"/>
      <c r="I79" s="445"/>
      <c r="J79" s="445"/>
      <c r="K79" s="206"/>
      <c r="L79" s="206"/>
      <c r="M79" s="206"/>
      <c r="N79" s="206"/>
      <c r="O79" s="206"/>
      <c r="P79" s="206"/>
      <c r="Q79" s="206"/>
      <c r="R79" s="206"/>
      <c r="S79" s="206"/>
      <c r="T79" s="202" t="e">
        <f>SUM(#REF!)</f>
        <v>#REF!</v>
      </c>
      <c r="U79" s="445"/>
      <c r="V79" s="445"/>
      <c r="W79" s="445"/>
      <c r="X79" s="445"/>
      <c r="Y79" s="445">
        <v>0</v>
      </c>
      <c r="Z79" s="342" t="e">
        <f>SUM(C79:Y79)-T79</f>
        <v>#REF!</v>
      </c>
      <c r="AA79" s="191"/>
      <c r="AB79" s="191"/>
      <c r="AC79" s="191"/>
      <c r="AD79" s="189"/>
      <c r="AE79" s="189"/>
      <c r="AF79" s="189"/>
      <c r="AG79" s="189"/>
      <c r="AH79" s="189"/>
      <c r="AI79" s="189"/>
      <c r="AJ79" s="189"/>
      <c r="AK79" s="189"/>
      <c r="AL79" s="213"/>
      <c r="AM79" s="348"/>
      <c r="AN79" s="189"/>
      <c r="AO79" s="189"/>
      <c r="AP79" s="189"/>
      <c r="AQ79" s="189"/>
      <c r="BB79" s="189"/>
      <c r="BC79" s="189"/>
      <c r="BD79" s="189"/>
      <c r="BE79" s="189"/>
    </row>
    <row r="80" spans="1:57" ht="30" customHeight="1" hidden="1">
      <c r="A80" s="419"/>
      <c r="B80" s="417" t="s">
        <v>202</v>
      </c>
      <c r="C80" s="171">
        <v>0</v>
      </c>
      <c r="D80" s="171">
        <v>0</v>
      </c>
      <c r="E80" s="171">
        <v>0</v>
      </c>
      <c r="F80" s="171">
        <v>0</v>
      </c>
      <c r="G80" s="171"/>
      <c r="H80" s="171">
        <v>0</v>
      </c>
      <c r="I80" s="171">
        <v>0</v>
      </c>
      <c r="J80" s="171"/>
      <c r="K80" s="206"/>
      <c r="L80" s="206"/>
      <c r="M80" s="206"/>
      <c r="N80" s="206"/>
      <c r="O80" s="206"/>
      <c r="P80" s="206"/>
      <c r="Q80" s="206"/>
      <c r="R80" s="206"/>
      <c r="S80" s="206"/>
      <c r="T80" s="68">
        <f>SUM(K80:Q80)</f>
        <v>0</v>
      </c>
      <c r="U80" s="171"/>
      <c r="V80" s="171"/>
      <c r="W80" s="171"/>
      <c r="X80" s="171"/>
      <c r="Y80" s="171">
        <v>-115.55</v>
      </c>
      <c r="Z80" s="188">
        <f>SUM(C80:Y80)-T80</f>
        <v>-115.55</v>
      </c>
      <c r="AA80" s="191"/>
      <c r="AB80" s="191"/>
      <c r="AC80" s="191"/>
      <c r="AD80" s="189"/>
      <c r="AE80" s="189"/>
      <c r="AF80" s="189"/>
      <c r="AG80" s="189"/>
      <c r="AH80" s="189"/>
      <c r="AI80" s="189"/>
      <c r="AJ80" s="189"/>
      <c r="AK80" s="189"/>
      <c r="AL80" s="212"/>
      <c r="AM80" s="348"/>
      <c r="AN80" s="221"/>
      <c r="AO80" s="221"/>
      <c r="AP80" s="221"/>
      <c r="AQ80" s="189"/>
      <c r="BB80" s="189"/>
      <c r="BC80" s="189"/>
      <c r="BD80" s="189"/>
      <c r="BE80" s="189"/>
    </row>
    <row r="81" spans="1:57" ht="30" customHeight="1" hidden="1">
      <c r="A81" s="419"/>
      <c r="B81" s="420" t="s">
        <v>237</v>
      </c>
      <c r="C81" s="171">
        <v>0</v>
      </c>
      <c r="D81" s="171">
        <v>0</v>
      </c>
      <c r="E81" s="171"/>
      <c r="F81" s="171"/>
      <c r="G81" s="171"/>
      <c r="H81" s="171"/>
      <c r="I81" s="171"/>
      <c r="J81" s="171"/>
      <c r="K81" s="171"/>
      <c r="L81" s="171"/>
      <c r="M81" s="171"/>
      <c r="N81" s="171"/>
      <c r="O81" s="171"/>
      <c r="P81" s="171"/>
      <c r="Q81" s="171"/>
      <c r="R81" s="206"/>
      <c r="S81" s="206"/>
      <c r="T81" s="191"/>
      <c r="U81" s="171"/>
      <c r="V81" s="171"/>
      <c r="W81" s="171"/>
      <c r="X81" s="171"/>
      <c r="Y81" s="171">
        <v>0</v>
      </c>
      <c r="Z81" s="188">
        <f>SUM(C81:Y81)-T81</f>
        <v>0</v>
      </c>
      <c r="AA81" s="191"/>
      <c r="AB81" s="191"/>
      <c r="AC81" s="191"/>
      <c r="AD81" s="189"/>
      <c r="AE81" s="189"/>
      <c r="AF81" s="189"/>
      <c r="AG81" s="189"/>
      <c r="AH81" s="189"/>
      <c r="AI81" s="189"/>
      <c r="AJ81" s="189"/>
      <c r="AK81" s="189"/>
      <c r="AL81" s="212"/>
      <c r="AM81" s="348"/>
      <c r="AN81" s="221"/>
      <c r="AO81" s="221"/>
      <c r="AP81" s="221"/>
      <c r="AQ81" s="189"/>
      <c r="BB81" s="189"/>
      <c r="BC81" s="189"/>
      <c r="BD81" s="189"/>
      <c r="BE81" s="189"/>
    </row>
    <row r="82" spans="1:57" ht="18" customHeight="1" hidden="1">
      <c r="A82" s="421">
        <v>12</v>
      </c>
      <c r="B82" s="218" t="s">
        <v>148</v>
      </c>
      <c r="C82" s="211">
        <f>+C77+C80+C81</f>
        <v>-638.9799999999998</v>
      </c>
      <c r="D82" s="211">
        <f aca="true" t="shared" si="18" ref="D82:Z82">+D77+D80+D81</f>
        <v>-394.19</v>
      </c>
      <c r="E82" s="211">
        <f t="shared" si="18"/>
        <v>14.770000000000005</v>
      </c>
      <c r="F82" s="211">
        <f t="shared" si="18"/>
        <v>-855.1540000000001</v>
      </c>
      <c r="G82" s="211"/>
      <c r="H82" s="211">
        <f t="shared" si="18"/>
        <v>4.379999999999967</v>
      </c>
      <c r="I82" s="211">
        <f t="shared" si="18"/>
        <v>-4.130000000000024</v>
      </c>
      <c r="J82" s="211">
        <f t="shared" si="18"/>
        <v>-41.93</v>
      </c>
      <c r="K82" s="211">
        <f t="shared" si="18"/>
        <v>0</v>
      </c>
      <c r="L82" s="211">
        <f t="shared" si="18"/>
        <v>-0.8</v>
      </c>
      <c r="M82" s="211">
        <f t="shared" si="18"/>
        <v>0</v>
      </c>
      <c r="N82" s="211">
        <f t="shared" si="18"/>
        <v>-0.4299999999999999</v>
      </c>
      <c r="O82" s="211">
        <f t="shared" si="18"/>
        <v>-2.8200000000000074</v>
      </c>
      <c r="P82" s="211">
        <f t="shared" si="18"/>
        <v>-1.4099999999999937</v>
      </c>
      <c r="Q82" s="211">
        <f t="shared" si="18"/>
        <v>28.85999999999999</v>
      </c>
      <c r="R82" s="211"/>
      <c r="S82" s="211"/>
      <c r="T82" s="211">
        <f t="shared" si="18"/>
        <v>11.949999999999989</v>
      </c>
      <c r="U82" s="211">
        <f t="shared" si="18"/>
        <v>117.53</v>
      </c>
      <c r="V82" s="211">
        <f t="shared" si="18"/>
        <v>31.86</v>
      </c>
      <c r="W82" s="211">
        <f t="shared" si="18"/>
        <v>-41.87</v>
      </c>
      <c r="X82" s="211">
        <f t="shared" si="18"/>
        <v>-1819.58</v>
      </c>
      <c r="Y82" s="211">
        <f t="shared" si="18"/>
        <v>-2319.35</v>
      </c>
      <c r="Z82" s="343">
        <f t="shared" si="18"/>
        <v>-5934.693999999999</v>
      </c>
      <c r="AA82" s="352"/>
      <c r="AB82" s="352"/>
      <c r="AC82" s="352"/>
      <c r="AD82" s="189"/>
      <c r="AE82" s="189"/>
      <c r="AF82" s="189"/>
      <c r="AG82" s="189"/>
      <c r="AH82" s="189"/>
      <c r="AI82" s="189"/>
      <c r="AJ82" s="189"/>
      <c r="AK82" s="189"/>
      <c r="AL82" s="352"/>
      <c r="AM82" s="353"/>
      <c r="AN82" s="221"/>
      <c r="AO82" s="345"/>
      <c r="AP82" s="345"/>
      <c r="AQ82" s="189"/>
      <c r="BB82" s="189"/>
      <c r="BC82" s="189"/>
      <c r="BD82" s="189"/>
      <c r="BE82" s="189"/>
    </row>
    <row r="83" spans="1:57" ht="18" customHeight="1" hidden="1">
      <c r="A83" s="421"/>
      <c r="B83" s="218"/>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343"/>
      <c r="AA83" s="401"/>
      <c r="AB83" s="401"/>
      <c r="AC83" s="401"/>
      <c r="AD83" s="189"/>
      <c r="AE83" s="189"/>
      <c r="AF83" s="189"/>
      <c r="AG83" s="189"/>
      <c r="AH83" s="189"/>
      <c r="AI83" s="189"/>
      <c r="AJ83" s="189"/>
      <c r="AK83" s="189"/>
      <c r="AL83" s="213"/>
      <c r="AM83" s="348"/>
      <c r="AN83" s="221"/>
      <c r="AO83" s="221"/>
      <c r="AP83" s="221"/>
      <c r="AQ83" s="189"/>
      <c r="BB83" s="189"/>
      <c r="BC83" s="189"/>
      <c r="BD83" s="189"/>
      <c r="BE83" s="189"/>
    </row>
    <row r="84" spans="1:57" ht="18" customHeight="1" hidden="1">
      <c r="A84" s="421" t="s">
        <v>12</v>
      </c>
      <c r="B84" s="170" t="s">
        <v>5</v>
      </c>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344"/>
      <c r="AA84" s="204"/>
      <c r="AB84" s="204"/>
      <c r="AC84" s="204"/>
      <c r="AD84" s="189"/>
      <c r="AE84" s="189"/>
      <c r="AF84" s="189"/>
      <c r="AG84" s="189"/>
      <c r="AH84" s="189"/>
      <c r="AI84" s="189"/>
      <c r="AJ84" s="189"/>
      <c r="AK84" s="189"/>
      <c r="AL84" s="213"/>
      <c r="AM84" s="348"/>
      <c r="AN84" s="221"/>
      <c r="AO84" s="221"/>
      <c r="AP84" s="221"/>
      <c r="AQ84" s="189"/>
      <c r="BB84" s="189"/>
      <c r="BC84" s="189"/>
      <c r="BD84" s="189"/>
      <c r="BE84" s="189"/>
    </row>
    <row r="85" spans="1:57" ht="18" customHeight="1" hidden="1">
      <c r="A85" s="421"/>
      <c r="B85" s="170" t="s">
        <v>140</v>
      </c>
      <c r="C85" s="446">
        <v>18259.8099276</v>
      </c>
      <c r="D85" s="446">
        <v>6655.4474642000005</v>
      </c>
      <c r="E85" s="446">
        <v>698.389405</v>
      </c>
      <c r="F85" s="446">
        <v>14117.1470424</v>
      </c>
      <c r="G85" s="446"/>
      <c r="H85" s="446">
        <v>356.1741007</v>
      </c>
      <c r="I85" s="446">
        <v>232.85963400000003</v>
      </c>
      <c r="J85" s="446"/>
      <c r="K85" s="446"/>
      <c r="L85" s="446"/>
      <c r="M85" s="446"/>
      <c r="N85" s="446"/>
      <c r="O85" s="446"/>
      <c r="P85" s="446"/>
      <c r="Q85" s="446"/>
      <c r="R85" s="446"/>
      <c r="S85" s="446"/>
      <c r="T85" s="446">
        <v>63.485870600000005</v>
      </c>
      <c r="U85" s="446">
        <v>0</v>
      </c>
      <c r="V85" s="446">
        <v>0</v>
      </c>
      <c r="W85" s="446">
        <v>4032.99</v>
      </c>
      <c r="X85" s="446">
        <v>20601.32</v>
      </c>
      <c r="Y85" s="446">
        <v>3160.1741811000006</v>
      </c>
      <c r="Z85" s="447">
        <v>68565.40362210001</v>
      </c>
      <c r="AA85" s="284"/>
      <c r="AB85" s="284"/>
      <c r="AC85" s="284"/>
      <c r="AD85" s="189"/>
      <c r="AE85" s="189"/>
      <c r="AF85" s="189"/>
      <c r="AG85" s="189"/>
      <c r="AH85" s="189"/>
      <c r="AI85" s="189"/>
      <c r="AJ85" s="189"/>
      <c r="AK85" s="189"/>
      <c r="AL85" s="213"/>
      <c r="AM85" s="348"/>
      <c r="AN85" s="221"/>
      <c r="AO85" s="221"/>
      <c r="AP85" s="221"/>
      <c r="AQ85" s="189"/>
      <c r="BB85" s="189"/>
      <c r="BC85" s="189"/>
      <c r="BD85" s="189"/>
      <c r="BE85" s="189"/>
    </row>
    <row r="86" spans="1:57" ht="18" customHeight="1" hidden="1">
      <c r="A86" s="421"/>
      <c r="B86" s="170" t="s">
        <v>6</v>
      </c>
      <c r="C86" s="446">
        <v>5157.1659326</v>
      </c>
      <c r="D86" s="446">
        <v>986.0433688999999</v>
      </c>
      <c r="E86" s="446">
        <v>26.502863700000002</v>
      </c>
      <c r="F86" s="446">
        <v>2479.2838715</v>
      </c>
      <c r="G86" s="446"/>
      <c r="H86" s="446">
        <v>68.1334473</v>
      </c>
      <c r="I86" s="446">
        <v>37.8133067</v>
      </c>
      <c r="J86" s="446"/>
      <c r="K86" s="446"/>
      <c r="L86" s="446"/>
      <c r="M86" s="446"/>
      <c r="N86" s="446"/>
      <c r="O86" s="446"/>
      <c r="P86" s="446"/>
      <c r="Q86" s="446"/>
      <c r="R86" s="446"/>
      <c r="S86" s="446"/>
      <c r="T86" s="446">
        <v>17.373100600000004</v>
      </c>
      <c r="U86" s="446">
        <v>0</v>
      </c>
      <c r="V86" s="446">
        <v>0</v>
      </c>
      <c r="W86" s="446">
        <v>0</v>
      </c>
      <c r="X86" s="446">
        <v>0</v>
      </c>
      <c r="Y86" s="446">
        <v>415.3859118</v>
      </c>
      <c r="Z86" s="447">
        <v>9303.502764699999</v>
      </c>
      <c r="AA86" s="284"/>
      <c r="AB86" s="284"/>
      <c r="AC86" s="284"/>
      <c r="AD86" s="189"/>
      <c r="AE86" s="189"/>
      <c r="AF86" s="189"/>
      <c r="AG86" s="189"/>
      <c r="AH86" s="189"/>
      <c r="AI86" s="189"/>
      <c r="AJ86" s="189"/>
      <c r="AK86" s="189"/>
      <c r="AL86" s="213"/>
      <c r="AM86" s="348"/>
      <c r="AN86" s="221"/>
      <c r="AO86" s="221"/>
      <c r="AP86" s="221"/>
      <c r="AQ86" s="189"/>
      <c r="BB86" s="189"/>
      <c r="BC86" s="189"/>
      <c r="BD86" s="189"/>
      <c r="BE86" s="189"/>
    </row>
    <row r="87" spans="1:57" ht="18" customHeight="1" hidden="1">
      <c r="A87" s="421"/>
      <c r="B87" s="170" t="s">
        <v>7</v>
      </c>
      <c r="C87" s="446">
        <v>13102.643994999999</v>
      </c>
      <c r="D87" s="446">
        <v>5669.4040953</v>
      </c>
      <c r="E87" s="446">
        <v>671.8865413</v>
      </c>
      <c r="F87" s="446">
        <v>11637.8631709</v>
      </c>
      <c r="G87" s="446"/>
      <c r="H87" s="446">
        <v>288.0406534</v>
      </c>
      <c r="I87" s="446">
        <v>195.04632730000003</v>
      </c>
      <c r="J87" s="446"/>
      <c r="K87" s="446"/>
      <c r="L87" s="446"/>
      <c r="M87" s="446"/>
      <c r="N87" s="446"/>
      <c r="O87" s="446"/>
      <c r="P87" s="446"/>
      <c r="Q87" s="446"/>
      <c r="R87" s="446"/>
      <c r="S87" s="446"/>
      <c r="T87" s="446">
        <v>46.11277</v>
      </c>
      <c r="U87" s="446">
        <v>0</v>
      </c>
      <c r="V87" s="446">
        <v>0</v>
      </c>
      <c r="W87" s="446">
        <v>4032.99</v>
      </c>
      <c r="X87" s="446">
        <v>20601.32</v>
      </c>
      <c r="Y87" s="446">
        <v>2744.7882693000006</v>
      </c>
      <c r="Z87" s="447">
        <v>59261.90085740002</v>
      </c>
      <c r="AA87" s="284"/>
      <c r="AB87" s="284"/>
      <c r="AC87" s="284"/>
      <c r="AD87" s="189"/>
      <c r="AE87" s="189"/>
      <c r="AF87" s="189"/>
      <c r="AG87" s="189"/>
      <c r="AH87" s="189"/>
      <c r="AI87" s="189"/>
      <c r="AJ87" s="189"/>
      <c r="AK87" s="189"/>
      <c r="AL87" s="213"/>
      <c r="AM87" s="348"/>
      <c r="AN87" s="221"/>
      <c r="AO87" s="221"/>
      <c r="AP87" s="221"/>
      <c r="AQ87" s="189"/>
      <c r="BB87" s="189"/>
      <c r="BC87" s="189"/>
      <c r="BD87" s="189"/>
      <c r="BE87" s="189"/>
    </row>
    <row r="88" spans="1:57" ht="11.25" hidden="1">
      <c r="A88" s="172"/>
      <c r="B88" s="172"/>
      <c r="C88" s="172" t="s">
        <v>12</v>
      </c>
      <c r="D88" s="172"/>
      <c r="E88" s="172" t="s">
        <v>12</v>
      </c>
      <c r="F88" s="172"/>
      <c r="G88" s="172"/>
      <c r="H88" s="172"/>
      <c r="I88" s="172"/>
      <c r="J88" s="172"/>
      <c r="K88" s="172"/>
      <c r="L88" s="172"/>
      <c r="M88" s="172"/>
      <c r="N88" s="172"/>
      <c r="O88" s="172"/>
      <c r="P88" s="172"/>
      <c r="Q88" s="172"/>
      <c r="R88" s="172"/>
      <c r="S88" s="172"/>
      <c r="T88" s="172"/>
      <c r="U88" s="172"/>
      <c r="V88" s="172"/>
      <c r="W88" s="172"/>
      <c r="X88" s="172"/>
      <c r="Y88" s="172" t="s">
        <v>12</v>
      </c>
      <c r="Z88" s="172" t="s">
        <v>12</v>
      </c>
      <c r="AA88" s="189"/>
      <c r="AD88" s="189"/>
      <c r="AE88" s="189"/>
      <c r="AF88" s="189"/>
      <c r="AG88" s="189"/>
      <c r="AH88" s="189"/>
      <c r="AI88" s="189"/>
      <c r="AJ88" s="189"/>
      <c r="AK88" s="189"/>
      <c r="AL88" s="213"/>
      <c r="AM88" s="348"/>
      <c r="AN88" s="221"/>
      <c r="AO88" s="221"/>
      <c r="AP88" s="221"/>
      <c r="AQ88" s="189"/>
      <c r="BB88" s="189"/>
      <c r="BC88" s="189"/>
      <c r="BD88" s="189"/>
      <c r="BE88" s="189"/>
    </row>
    <row r="89" spans="1:57" ht="11.25">
      <c r="A89" s="172"/>
      <c r="B89" s="172"/>
      <c r="C89" s="172"/>
      <c r="D89" s="172"/>
      <c r="E89" s="172"/>
      <c r="F89" s="172"/>
      <c r="G89" s="172"/>
      <c r="H89" s="172"/>
      <c r="I89" s="172"/>
      <c r="J89" s="172"/>
      <c r="K89" s="172"/>
      <c r="L89" s="172"/>
      <c r="M89" s="172"/>
      <c r="N89" s="172"/>
      <c r="O89" s="172"/>
      <c r="P89" s="172"/>
      <c r="Q89" s="172"/>
      <c r="R89" s="172"/>
      <c r="S89" s="172"/>
      <c r="T89" s="172"/>
      <c r="U89" s="172" t="s">
        <v>12</v>
      </c>
      <c r="V89" s="172"/>
      <c r="W89" s="172"/>
      <c r="X89" s="172"/>
      <c r="Y89" s="172"/>
      <c r="Z89" s="219" t="s">
        <v>12</v>
      </c>
      <c r="AA89" s="204"/>
      <c r="AB89" s="72"/>
      <c r="AC89" s="72"/>
      <c r="AD89" s="189"/>
      <c r="AE89" s="189"/>
      <c r="AF89" s="189"/>
      <c r="AG89" s="189"/>
      <c r="AH89" s="189"/>
      <c r="AI89" s="189"/>
      <c r="AJ89" s="189"/>
      <c r="AK89" s="189"/>
      <c r="AL89" s="189"/>
      <c r="AM89" s="348"/>
      <c r="AN89" s="189"/>
      <c r="AO89" s="189"/>
      <c r="AP89" s="189"/>
      <c r="AQ89" s="189"/>
      <c r="BB89" s="189"/>
      <c r="BC89" s="189"/>
      <c r="BD89" s="189"/>
      <c r="BE89" s="189"/>
    </row>
    <row r="90" spans="1:57" ht="11.25">
      <c r="A90" s="172"/>
      <c r="B90" s="172"/>
      <c r="C90" s="172"/>
      <c r="D90" s="172"/>
      <c r="E90" s="172"/>
      <c r="F90" s="172"/>
      <c r="G90" s="172"/>
      <c r="H90" s="172"/>
      <c r="I90" s="172"/>
      <c r="J90" s="172"/>
      <c r="K90" s="172"/>
      <c r="L90" s="172"/>
      <c r="M90" s="172"/>
      <c r="N90" s="172"/>
      <c r="O90" s="172"/>
      <c r="P90" s="172"/>
      <c r="Q90" s="172"/>
      <c r="R90" s="172"/>
      <c r="S90" s="172"/>
      <c r="T90" s="172"/>
      <c r="U90" s="172" t="s">
        <v>12</v>
      </c>
      <c r="V90" s="172"/>
      <c r="W90" s="172"/>
      <c r="X90" s="172"/>
      <c r="Y90" s="172" t="s">
        <v>12</v>
      </c>
      <c r="Z90" s="210">
        <f>'[4]DEC -14 final result'!F35-Z77</f>
        <v>1953.5139999999988</v>
      </c>
      <c r="AA90" s="284"/>
      <c r="AB90" s="144"/>
      <c r="AC90" s="144"/>
      <c r="AD90" s="189"/>
      <c r="AE90" s="189"/>
      <c r="AF90" s="189"/>
      <c r="AG90" s="189"/>
      <c r="AH90" s="189"/>
      <c r="AI90" s="189"/>
      <c r="AJ90" s="189"/>
      <c r="AK90" s="189"/>
      <c r="AL90" s="204"/>
      <c r="AM90" s="348"/>
      <c r="AN90" s="189"/>
      <c r="AO90" s="189"/>
      <c r="AP90" s="189"/>
      <c r="AQ90" s="189"/>
      <c r="BB90" s="189"/>
      <c r="BC90" s="189"/>
      <c r="BD90" s="189"/>
      <c r="BE90" s="189"/>
    </row>
    <row r="91" spans="1:57" ht="11.2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210"/>
      <c r="AA91" s="284"/>
      <c r="AB91" s="144"/>
      <c r="AC91" s="144"/>
      <c r="AD91" s="189"/>
      <c r="AE91" s="189"/>
      <c r="AF91" s="189"/>
      <c r="AG91" s="189"/>
      <c r="AH91" s="189"/>
      <c r="AI91" s="189"/>
      <c r="AJ91" s="189"/>
      <c r="AK91" s="189"/>
      <c r="AL91" s="204"/>
      <c r="AM91" s="348"/>
      <c r="AN91" s="189"/>
      <c r="AO91" s="189"/>
      <c r="AP91" s="189"/>
      <c r="AQ91" s="189"/>
      <c r="BB91" s="189"/>
      <c r="BC91" s="189"/>
      <c r="BD91" s="189"/>
      <c r="BE91" s="189"/>
    </row>
    <row r="92" spans="1:57" ht="12.75">
      <c r="A92" s="532" t="s">
        <v>11</v>
      </c>
      <c r="B92" s="532"/>
      <c r="C92" s="532"/>
      <c r="D92" s="532"/>
      <c r="E92" s="532"/>
      <c r="F92" s="532"/>
      <c r="G92" s="532"/>
      <c r="H92" s="532"/>
      <c r="I92" s="532"/>
      <c r="J92" s="532"/>
      <c r="K92" s="532"/>
      <c r="L92" s="532"/>
      <c r="M92" s="532"/>
      <c r="N92" s="532"/>
      <c r="O92" s="532"/>
      <c r="P92" s="532"/>
      <c r="Q92" s="532"/>
      <c r="R92" s="532"/>
      <c r="S92" s="532"/>
      <c r="T92" s="532"/>
      <c r="U92" s="532"/>
      <c r="V92" s="532"/>
      <c r="W92" s="532"/>
      <c r="X92" s="532"/>
      <c r="Y92" s="532"/>
      <c r="Z92" s="532"/>
      <c r="AA92" s="392"/>
      <c r="AB92" s="392"/>
      <c r="AC92" s="392"/>
      <c r="AD92" s="189"/>
      <c r="AE92" s="189"/>
      <c r="AF92" s="189"/>
      <c r="AG92" s="189"/>
      <c r="AH92" s="189"/>
      <c r="AI92" s="189"/>
      <c r="AJ92" s="189"/>
      <c r="AK92" s="189"/>
      <c r="AL92" s="204"/>
      <c r="AM92" s="348"/>
      <c r="AN92" s="189"/>
      <c r="AO92" s="189"/>
      <c r="AP92" s="189"/>
      <c r="AQ92" s="189"/>
      <c r="BB92" s="189"/>
      <c r="BC92" s="189"/>
      <c r="BD92" s="189"/>
      <c r="BE92" s="189"/>
    </row>
    <row r="93" spans="1:57" ht="12.75">
      <c r="A93" s="532" t="s">
        <v>12</v>
      </c>
      <c r="B93" s="532"/>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391"/>
      <c r="AB93" s="391"/>
      <c r="AC93" s="391"/>
      <c r="AD93" s="189"/>
      <c r="AE93" s="189"/>
      <c r="AF93" s="189"/>
      <c r="AG93" s="189"/>
      <c r="AH93" s="189"/>
      <c r="AI93" s="189"/>
      <c r="AJ93" s="189"/>
      <c r="AK93" s="189"/>
      <c r="AL93" s="189"/>
      <c r="AM93" s="348"/>
      <c r="AN93" s="189"/>
      <c r="AO93" s="189"/>
      <c r="AP93" s="189"/>
      <c r="AQ93" s="189"/>
      <c r="BB93" s="189"/>
      <c r="BC93" s="189"/>
      <c r="BD93" s="189"/>
      <c r="BE93" s="189"/>
    </row>
    <row r="94" spans="1:57" ht="12.75">
      <c r="A94" s="215" t="s">
        <v>12</v>
      </c>
      <c r="B94" s="215"/>
      <c r="C94" s="215"/>
      <c r="D94" s="215"/>
      <c r="E94" s="215"/>
      <c r="F94" s="215"/>
      <c r="G94" s="215"/>
      <c r="H94" s="215"/>
      <c r="I94" s="215"/>
      <c r="J94" s="215"/>
      <c r="K94" s="215"/>
      <c r="L94" s="215"/>
      <c r="M94" s="215"/>
      <c r="N94" s="215"/>
      <c r="O94" s="215"/>
      <c r="P94" s="215"/>
      <c r="Q94" s="215"/>
      <c r="R94" s="215"/>
      <c r="S94" s="215"/>
      <c r="T94" s="215"/>
      <c r="U94" s="215"/>
      <c r="V94" s="215"/>
      <c r="W94" s="215" t="s">
        <v>152</v>
      </c>
      <c r="X94" s="215"/>
      <c r="Y94" s="215" t="s">
        <v>201</v>
      </c>
      <c r="Z94" s="215"/>
      <c r="AA94" s="412"/>
      <c r="AB94" s="91"/>
      <c r="AC94" s="91"/>
      <c r="AD94" s="189"/>
      <c r="AE94" s="189"/>
      <c r="AF94" s="189"/>
      <c r="AG94" s="189"/>
      <c r="AH94" s="189"/>
      <c r="AI94" s="189"/>
      <c r="AJ94" s="189"/>
      <c r="AK94" s="189"/>
      <c r="AL94" s="204"/>
      <c r="AM94" s="348"/>
      <c r="AN94" s="189"/>
      <c r="AO94" s="189"/>
      <c r="AP94" s="189"/>
      <c r="AQ94" s="189"/>
      <c r="BB94" s="189"/>
      <c r="BC94" s="189"/>
      <c r="BD94" s="189"/>
      <c r="BE94" s="189"/>
    </row>
    <row r="95" spans="1:57" ht="12.75">
      <c r="A95" s="413" t="s">
        <v>312</v>
      </c>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t="s">
        <v>12</v>
      </c>
      <c r="AA95" s="412"/>
      <c r="AB95" s="91"/>
      <c r="AC95" s="91"/>
      <c r="AD95" s="189"/>
      <c r="AE95" s="189"/>
      <c r="AF95" s="189"/>
      <c r="AG95" s="189"/>
      <c r="AH95" s="189"/>
      <c r="AI95" s="189"/>
      <c r="AJ95" s="189"/>
      <c r="AK95" s="189"/>
      <c r="AL95" s="189"/>
      <c r="AM95" s="348"/>
      <c r="AN95" s="189"/>
      <c r="AO95" s="189"/>
      <c r="AP95" s="189"/>
      <c r="AQ95" s="189"/>
      <c r="BB95" s="189"/>
      <c r="BC95" s="189"/>
      <c r="BD95" s="189"/>
      <c r="BE95" s="189"/>
    </row>
    <row r="96" spans="1:57" ht="12.75">
      <c r="A96" s="215"/>
      <c r="B96" s="215" t="s">
        <v>12</v>
      </c>
      <c r="C96" s="215"/>
      <c r="D96" s="215"/>
      <c r="E96" s="215"/>
      <c r="F96" s="215"/>
      <c r="G96" s="215"/>
      <c r="H96" s="215"/>
      <c r="I96" s="215"/>
      <c r="J96" s="215"/>
      <c r="K96" s="215"/>
      <c r="L96" s="215"/>
      <c r="M96" s="215"/>
      <c r="N96" s="215"/>
      <c r="O96" s="215"/>
      <c r="P96" s="215"/>
      <c r="Q96" s="215"/>
      <c r="R96" s="215"/>
      <c r="S96" s="215"/>
      <c r="T96" s="215"/>
      <c r="U96" s="215"/>
      <c r="V96" s="215"/>
      <c r="W96" s="215"/>
      <c r="X96" s="215"/>
      <c r="Y96" s="215" t="s">
        <v>94</v>
      </c>
      <c r="Z96" s="215"/>
      <c r="AA96" s="412"/>
      <c r="AB96" s="91"/>
      <c r="AC96" s="91"/>
      <c r="AD96" s="189"/>
      <c r="AE96" s="189"/>
      <c r="AF96" s="189"/>
      <c r="AG96" s="189"/>
      <c r="AH96" s="189"/>
      <c r="AI96" s="189"/>
      <c r="AJ96" s="189"/>
      <c r="AK96" s="189"/>
      <c r="AL96" s="189"/>
      <c r="AM96" s="348"/>
      <c r="AN96" s="189"/>
      <c r="AO96" s="189"/>
      <c r="AP96" s="189"/>
      <c r="AQ96" s="189"/>
      <c r="BB96" s="189"/>
      <c r="BC96" s="189"/>
      <c r="BD96" s="189"/>
      <c r="BE96" s="189"/>
    </row>
    <row r="97" spans="1:57" ht="12.75">
      <c r="A97" s="533" t="s">
        <v>19</v>
      </c>
      <c r="B97" s="534" t="s">
        <v>15</v>
      </c>
      <c r="C97" s="245"/>
      <c r="D97" s="245"/>
      <c r="E97" s="245"/>
      <c r="F97" s="246" t="s">
        <v>29</v>
      </c>
      <c r="G97" s="246"/>
      <c r="H97" s="247"/>
      <c r="I97" s="247"/>
      <c r="J97" s="247"/>
      <c r="K97" s="247"/>
      <c r="L97" s="247"/>
      <c r="M97" s="247"/>
      <c r="N97" s="247"/>
      <c r="O97" s="247"/>
      <c r="P97" s="247"/>
      <c r="Q97" s="247"/>
      <c r="R97" s="247"/>
      <c r="S97" s="247"/>
      <c r="T97" s="247"/>
      <c r="U97" s="247"/>
      <c r="V97" s="247"/>
      <c r="W97" s="247"/>
      <c r="X97" s="247"/>
      <c r="Y97" s="448"/>
      <c r="Z97" s="356"/>
      <c r="AA97" s="402"/>
      <c r="AB97" s="402"/>
      <c r="AC97" s="402"/>
      <c r="AD97" s="189"/>
      <c r="AE97" s="189"/>
      <c r="AF97" s="189"/>
      <c r="AG97" s="189"/>
      <c r="AH97" s="189"/>
      <c r="AI97" s="189"/>
      <c r="AJ97" s="189"/>
      <c r="AK97" s="189"/>
      <c r="AL97" s="189"/>
      <c r="AM97" s="348"/>
      <c r="AN97" s="189"/>
      <c r="AO97" s="189"/>
      <c r="AP97" s="189"/>
      <c r="AQ97" s="189"/>
      <c r="BB97" s="189"/>
      <c r="BC97" s="189"/>
      <c r="BD97" s="189"/>
      <c r="BE97" s="189"/>
    </row>
    <row r="98" spans="1:57" ht="76.5">
      <c r="A98" s="533"/>
      <c r="B98" s="534"/>
      <c r="C98" s="248" t="str">
        <f>+C60</f>
        <v>The ORCHID Mumbai</v>
      </c>
      <c r="D98" s="248" t="str">
        <f aca="true" t="shared" si="19" ref="D98:Z98">+D60</f>
        <v>Fort- Jadhav Gadh, Pune</v>
      </c>
      <c r="E98" s="248" t="str">
        <f t="shared" si="19"/>
        <v>Fort Mahodhadhi Palace, Puri, Orissa</v>
      </c>
      <c r="F98" s="248" t="str">
        <f t="shared" si="19"/>
        <v>VITS, MUMBAI</v>
      </c>
      <c r="G98" s="248"/>
      <c r="H98" s="248" t="str">
        <f t="shared" si="19"/>
        <v>VITS-Nashik</v>
      </c>
      <c r="I98" s="248" t="str">
        <f t="shared" si="19"/>
        <v>Lotus Resort  Ramchandi, (Eco Village) Orissa</v>
      </c>
      <c r="J98" s="248" t="str">
        <f t="shared" si="19"/>
        <v>Lotus Beach Resort  -GOA</v>
      </c>
      <c r="K98" s="248" t="str">
        <f t="shared" si="19"/>
        <v>Vithal Kamats - Sanpada</v>
      </c>
      <c r="L98" s="248" t="str">
        <f t="shared" si="19"/>
        <v>Vithal Kamats - Wagunde-Budrak</v>
      </c>
      <c r="M98" s="248" t="str">
        <f t="shared" si="19"/>
        <v>Vithal Kamats - Kudal</v>
      </c>
      <c r="N98" s="248" t="str">
        <f t="shared" si="19"/>
        <v>Vithal Kamats - Nashik</v>
      </c>
      <c r="O98" s="248" t="str">
        <f t="shared" si="19"/>
        <v>Vithal Kamats - Panvel</v>
      </c>
      <c r="P98" s="248" t="str">
        <f t="shared" si="19"/>
        <v>Vithal Kamats - Pride India- Manor</v>
      </c>
      <c r="Q98" s="248" t="str">
        <f t="shared" si="19"/>
        <v>Vithal Kamats - TREEO- Manor</v>
      </c>
      <c r="R98" s="248" t="str">
        <f t="shared" si="19"/>
        <v>VKOFR-Frenchise</v>
      </c>
      <c r="S98" s="237" t="s">
        <v>245</v>
      </c>
      <c r="T98" s="248" t="str">
        <f t="shared" si="19"/>
        <v>VKOFR</v>
      </c>
      <c r="U98" s="248" t="str">
        <f t="shared" si="19"/>
        <v>Time Share Division</v>
      </c>
      <c r="V98" s="248" t="str">
        <f t="shared" si="19"/>
        <v>VITS- Corporate Office </v>
      </c>
      <c r="W98" s="248" t="str">
        <f t="shared" si="19"/>
        <v>Non Productive Assets </v>
      </c>
      <c r="X98" s="248" t="str">
        <f t="shared" si="19"/>
        <v>OHPPL</v>
      </c>
      <c r="Y98" s="449" t="str">
        <f t="shared" si="19"/>
        <v>Corporate Office</v>
      </c>
      <c r="Z98" s="450" t="str">
        <f t="shared" si="19"/>
        <v>Total of All Units</v>
      </c>
      <c r="AA98" s="391"/>
      <c r="AB98" s="391"/>
      <c r="AC98" s="391"/>
      <c r="AD98" s="189"/>
      <c r="AE98" s="189"/>
      <c r="AF98" s="189"/>
      <c r="AG98" s="189"/>
      <c r="AH98" s="189"/>
      <c r="AI98" s="189"/>
      <c r="AJ98" s="189"/>
      <c r="AK98" s="189"/>
      <c r="AL98" s="189"/>
      <c r="AM98" s="348"/>
      <c r="AN98" s="189"/>
      <c r="AO98" s="189"/>
      <c r="AP98" s="189"/>
      <c r="AQ98" s="189"/>
      <c r="BB98" s="189"/>
      <c r="BC98" s="189"/>
      <c r="BD98" s="189"/>
      <c r="BE98" s="189"/>
    </row>
    <row r="99" spans="1:57" ht="18" customHeight="1">
      <c r="A99" s="247">
        <v>1</v>
      </c>
      <c r="B99" s="249" t="s">
        <v>13</v>
      </c>
      <c r="C99" s="238">
        <f aca="true" t="shared" si="20" ref="C99:Z101">+C10-C61</f>
        <v>1878.4899999999998</v>
      </c>
      <c r="D99" s="238">
        <f t="shared" si="20"/>
        <v>333.51000000000005</v>
      </c>
      <c r="E99" s="238">
        <f t="shared" si="20"/>
        <v>85.5</v>
      </c>
      <c r="F99" s="238">
        <f t="shared" si="20"/>
        <v>612.83</v>
      </c>
      <c r="G99" s="238"/>
      <c r="H99" s="238">
        <f t="shared" si="20"/>
        <v>119.07</v>
      </c>
      <c r="I99" s="238">
        <f t="shared" si="20"/>
        <v>86.00999999999999</v>
      </c>
      <c r="J99" s="238">
        <f t="shared" si="20"/>
        <v>91.01000000000002</v>
      </c>
      <c r="K99" s="238">
        <f t="shared" si="20"/>
        <v>0</v>
      </c>
      <c r="L99" s="238">
        <f t="shared" si="20"/>
        <v>0</v>
      </c>
      <c r="M99" s="238">
        <f t="shared" si="20"/>
        <v>0</v>
      </c>
      <c r="N99" s="238">
        <f t="shared" si="20"/>
        <v>0</v>
      </c>
      <c r="O99" s="238">
        <f t="shared" si="20"/>
        <v>29.74000000000001</v>
      </c>
      <c r="P99" s="238">
        <f t="shared" si="20"/>
        <v>22.43</v>
      </c>
      <c r="Q99" s="238">
        <f t="shared" si="20"/>
        <v>65.93</v>
      </c>
      <c r="R99" s="238">
        <f t="shared" si="20"/>
        <v>0</v>
      </c>
      <c r="S99" s="238">
        <f t="shared" si="20"/>
        <v>0</v>
      </c>
      <c r="T99" s="238">
        <f t="shared" si="20"/>
        <v>118.09999999999997</v>
      </c>
      <c r="U99" s="238">
        <f t="shared" si="20"/>
        <v>81.6</v>
      </c>
      <c r="V99" s="238">
        <f t="shared" si="20"/>
        <v>50.38000000000001</v>
      </c>
      <c r="W99" s="238">
        <f t="shared" si="20"/>
        <v>0</v>
      </c>
      <c r="X99" s="238">
        <f t="shared" si="20"/>
        <v>0</v>
      </c>
      <c r="Y99" s="335">
        <f t="shared" si="20"/>
        <v>7.02</v>
      </c>
      <c r="Z99" s="358">
        <f t="shared" si="20"/>
        <v>3464.4476621424674</v>
      </c>
      <c r="AA99" s="285"/>
      <c r="AB99" s="285"/>
      <c r="AC99" s="285"/>
      <c r="AD99" s="284">
        <f>'[4]DEC -14 final result'!E18</f>
        <v>3455.34</v>
      </c>
      <c r="AE99" s="284">
        <f>+Z99-AD99</f>
        <v>9.107662142467234</v>
      </c>
      <c r="AF99" s="189"/>
      <c r="AG99" s="189"/>
      <c r="AH99" s="189"/>
      <c r="AI99" s="189"/>
      <c r="AJ99" s="189"/>
      <c r="AK99" s="189"/>
      <c r="AL99" s="189"/>
      <c r="AM99" s="348"/>
      <c r="AN99" s="189"/>
      <c r="AO99" s="189"/>
      <c r="AP99" s="189"/>
      <c r="AQ99" s="189"/>
      <c r="BB99" s="189"/>
      <c r="BC99" s="189"/>
      <c r="BD99" s="189"/>
      <c r="BE99" s="189"/>
    </row>
    <row r="100" spans="1:57" ht="18" customHeight="1">
      <c r="A100" s="247">
        <v>2</v>
      </c>
      <c r="B100" s="249" t="s">
        <v>71</v>
      </c>
      <c r="C100" s="238">
        <f t="shared" si="20"/>
        <v>73.09</v>
      </c>
      <c r="D100" s="238">
        <f t="shared" si="20"/>
        <v>46.29</v>
      </c>
      <c r="E100" s="238">
        <f t="shared" si="20"/>
        <v>0.7899999999999999</v>
      </c>
      <c r="F100" s="238">
        <f t="shared" si="20"/>
        <v>38.66</v>
      </c>
      <c r="G100" s="238"/>
      <c r="H100" s="238">
        <f t="shared" si="20"/>
        <v>0.8600000000000001</v>
      </c>
      <c r="I100" s="238">
        <f t="shared" si="20"/>
        <v>0.94</v>
      </c>
      <c r="J100" s="238">
        <f t="shared" si="20"/>
        <v>2.1300000000000003</v>
      </c>
      <c r="K100" s="238">
        <f t="shared" si="20"/>
        <v>0</v>
      </c>
      <c r="L100" s="238">
        <f t="shared" si="20"/>
        <v>0</v>
      </c>
      <c r="M100" s="238">
        <f t="shared" si="20"/>
        <v>0</v>
      </c>
      <c r="N100" s="238">
        <f t="shared" si="20"/>
        <v>0</v>
      </c>
      <c r="O100" s="238">
        <f t="shared" si="20"/>
        <v>0.16999999999999993</v>
      </c>
      <c r="P100" s="238">
        <f t="shared" si="20"/>
        <v>0.02</v>
      </c>
      <c r="Q100" s="238">
        <f t="shared" si="20"/>
        <v>1.5799999999999996</v>
      </c>
      <c r="R100" s="238">
        <f t="shared" si="20"/>
        <v>0</v>
      </c>
      <c r="S100" s="238">
        <f t="shared" si="20"/>
        <v>0</v>
      </c>
      <c r="T100" s="238">
        <f t="shared" si="20"/>
        <v>1.77</v>
      </c>
      <c r="U100" s="238">
        <f t="shared" si="20"/>
        <v>0</v>
      </c>
      <c r="V100" s="238">
        <f t="shared" si="20"/>
        <v>0</v>
      </c>
      <c r="W100" s="238">
        <f t="shared" si="20"/>
        <v>0</v>
      </c>
      <c r="X100" s="238">
        <f t="shared" si="20"/>
        <v>0</v>
      </c>
      <c r="Y100" s="335">
        <f t="shared" si="20"/>
        <v>38.11</v>
      </c>
      <c r="Z100" s="358">
        <f t="shared" si="20"/>
        <v>202.7110739661141</v>
      </c>
      <c r="AA100" s="285"/>
      <c r="AB100" s="285"/>
      <c r="AC100" s="285"/>
      <c r="AD100" s="284">
        <f>'[4]DEC -14 final result'!E19</f>
        <v>212.32999999999998</v>
      </c>
      <c r="AE100" s="284">
        <f>+Z100-AD100</f>
        <v>-9.618926033885884</v>
      </c>
      <c r="AF100" s="189"/>
      <c r="AG100" s="189"/>
      <c r="AH100" s="189"/>
      <c r="AI100" s="189"/>
      <c r="AJ100" s="189"/>
      <c r="AK100" s="189"/>
      <c r="AL100" s="189"/>
      <c r="AM100" s="348"/>
      <c r="AN100" s="189"/>
      <c r="AO100" s="189"/>
      <c r="AP100" s="189"/>
      <c r="AQ100" s="189"/>
      <c r="BB100" s="189"/>
      <c r="BC100" s="189"/>
      <c r="BD100" s="189"/>
      <c r="BE100" s="189"/>
    </row>
    <row r="101" spans="1:57" ht="18" customHeight="1">
      <c r="A101" s="247">
        <v>6</v>
      </c>
      <c r="B101" s="249" t="s">
        <v>14</v>
      </c>
      <c r="C101" s="238">
        <f>+C12-C63</f>
        <v>4.12</v>
      </c>
      <c r="D101" s="238">
        <f t="shared" si="20"/>
        <v>0.01007</v>
      </c>
      <c r="E101" s="238">
        <f t="shared" si="20"/>
        <v>0.18</v>
      </c>
      <c r="F101" s="238">
        <f t="shared" si="20"/>
        <v>1.6500000000000004</v>
      </c>
      <c r="G101" s="238"/>
      <c r="H101" s="238">
        <f t="shared" si="20"/>
        <v>-1.88</v>
      </c>
      <c r="I101" s="238">
        <f t="shared" si="20"/>
        <v>0</v>
      </c>
      <c r="J101" s="238">
        <f t="shared" si="20"/>
        <v>0</v>
      </c>
      <c r="K101" s="238">
        <f t="shared" si="20"/>
        <v>0</v>
      </c>
      <c r="L101" s="238">
        <f t="shared" si="20"/>
        <v>0</v>
      </c>
      <c r="M101" s="238">
        <f t="shared" si="20"/>
        <v>0</v>
      </c>
      <c r="N101" s="238">
        <f t="shared" si="20"/>
        <v>0</v>
      </c>
      <c r="O101" s="238">
        <f t="shared" si="20"/>
        <v>0.09000000000000001</v>
      </c>
      <c r="P101" s="238">
        <f t="shared" si="20"/>
        <v>0.04</v>
      </c>
      <c r="Q101" s="238">
        <f t="shared" si="20"/>
        <v>0.08</v>
      </c>
      <c r="R101" s="238">
        <f t="shared" si="20"/>
        <v>0</v>
      </c>
      <c r="S101" s="238">
        <f t="shared" si="20"/>
        <v>0</v>
      </c>
      <c r="T101" s="238">
        <f t="shared" si="20"/>
        <v>0.21000000000000002</v>
      </c>
      <c r="U101" s="238">
        <f t="shared" si="20"/>
        <v>2.1800000000000006</v>
      </c>
      <c r="V101" s="238">
        <f t="shared" si="20"/>
        <v>3.25</v>
      </c>
      <c r="W101" s="238">
        <f t="shared" si="20"/>
        <v>0</v>
      </c>
      <c r="X101" s="238">
        <f t="shared" si="20"/>
        <v>0</v>
      </c>
      <c r="Y101" s="335">
        <f t="shared" si="20"/>
        <v>66.74000000000001</v>
      </c>
      <c r="Z101" s="358">
        <f t="shared" si="20"/>
        <v>76.4613338914192</v>
      </c>
      <c r="AA101" s="285"/>
      <c r="AB101" s="285"/>
      <c r="AC101" s="285"/>
      <c r="AD101" s="284">
        <f>'[4]DEC -14 final result'!E29</f>
        <v>76.96000000000004</v>
      </c>
      <c r="AE101" s="284">
        <f>+Z101-AD101</f>
        <v>-0.49866610858083504</v>
      </c>
      <c r="AF101" s="189"/>
      <c r="AG101" s="189"/>
      <c r="AH101" s="189"/>
      <c r="AI101" s="189"/>
      <c r="AJ101" s="189"/>
      <c r="AK101" s="189"/>
      <c r="AL101" s="189"/>
      <c r="AM101" s="348"/>
      <c r="AN101" s="189"/>
      <c r="AO101" s="189"/>
      <c r="AP101" s="189"/>
      <c r="AQ101" s="189"/>
      <c r="BB101" s="189"/>
      <c r="BC101" s="189"/>
      <c r="BD101" s="189"/>
      <c r="BE101" s="189"/>
    </row>
    <row r="102" spans="1:57" ht="18" customHeight="1">
      <c r="A102" s="247">
        <v>3</v>
      </c>
      <c r="B102" s="250" t="s">
        <v>18</v>
      </c>
      <c r="C102" s="239">
        <f>+C99+C100+C101</f>
        <v>1955.6999999999996</v>
      </c>
      <c r="D102" s="239">
        <f aca="true" t="shared" si="21" ref="D102:AD102">+D99+D100+D101</f>
        <v>379.81007000000005</v>
      </c>
      <c r="E102" s="239">
        <f t="shared" si="21"/>
        <v>86.47000000000001</v>
      </c>
      <c r="F102" s="239">
        <f t="shared" si="21"/>
        <v>653.14</v>
      </c>
      <c r="G102" s="239"/>
      <c r="H102" s="239">
        <f t="shared" si="21"/>
        <v>118.05</v>
      </c>
      <c r="I102" s="239">
        <f t="shared" si="21"/>
        <v>86.94999999999999</v>
      </c>
      <c r="J102" s="239">
        <f t="shared" si="21"/>
        <v>93.14000000000001</v>
      </c>
      <c r="K102" s="239">
        <f t="shared" si="21"/>
        <v>0</v>
      </c>
      <c r="L102" s="239">
        <f t="shared" si="21"/>
        <v>0</v>
      </c>
      <c r="M102" s="239">
        <f t="shared" si="21"/>
        <v>0</v>
      </c>
      <c r="N102" s="239">
        <f t="shared" si="21"/>
        <v>0</v>
      </c>
      <c r="O102" s="239">
        <f t="shared" si="21"/>
        <v>30.00000000000001</v>
      </c>
      <c r="P102" s="239">
        <f t="shared" si="21"/>
        <v>22.49</v>
      </c>
      <c r="Q102" s="239">
        <f t="shared" si="21"/>
        <v>67.59</v>
      </c>
      <c r="R102" s="239">
        <f>+R99+R100+R101</f>
        <v>0</v>
      </c>
      <c r="S102" s="239">
        <f>+S99+S100+S101</f>
        <v>0</v>
      </c>
      <c r="T102" s="239">
        <f t="shared" si="21"/>
        <v>120.07999999999996</v>
      </c>
      <c r="U102" s="239">
        <f t="shared" si="21"/>
        <v>83.78</v>
      </c>
      <c r="V102" s="239">
        <f t="shared" si="21"/>
        <v>53.63000000000001</v>
      </c>
      <c r="W102" s="239">
        <f t="shared" si="21"/>
        <v>0</v>
      </c>
      <c r="X102" s="239">
        <f t="shared" si="21"/>
        <v>0</v>
      </c>
      <c r="Y102" s="336">
        <f t="shared" si="21"/>
        <v>111.87</v>
      </c>
      <c r="Z102" s="359">
        <f t="shared" si="21"/>
        <v>3743.6200700000004</v>
      </c>
      <c r="AA102" s="387"/>
      <c r="AB102" s="405"/>
      <c r="AC102" s="359"/>
      <c r="AD102" s="359">
        <f t="shared" si="21"/>
        <v>3744.63</v>
      </c>
      <c r="AE102" s="189"/>
      <c r="AF102" s="189"/>
      <c r="AG102" s="189"/>
      <c r="AH102" s="189"/>
      <c r="AI102" s="189"/>
      <c r="AJ102" s="189"/>
      <c r="AK102" s="189"/>
      <c r="AL102" s="189"/>
      <c r="AM102" s="348"/>
      <c r="AN102" s="189"/>
      <c r="AO102" s="189"/>
      <c r="AP102" s="189"/>
      <c r="AQ102" s="189"/>
      <c r="BB102" s="189"/>
      <c r="BC102" s="189"/>
      <c r="BD102" s="189"/>
      <c r="BE102" s="189"/>
    </row>
    <row r="103" spans="1:57" ht="18" customHeight="1">
      <c r="A103" s="247">
        <v>4</v>
      </c>
      <c r="B103" s="251" t="s">
        <v>34</v>
      </c>
      <c r="C103" s="249"/>
      <c r="D103" s="252" t="s">
        <v>12</v>
      </c>
      <c r="E103" s="249"/>
      <c r="F103" s="249"/>
      <c r="G103" s="249"/>
      <c r="H103" s="249"/>
      <c r="I103" s="249"/>
      <c r="J103" s="249"/>
      <c r="K103" s="249"/>
      <c r="L103" s="249"/>
      <c r="M103" s="249"/>
      <c r="N103" s="249"/>
      <c r="O103" s="249"/>
      <c r="P103" s="249"/>
      <c r="Q103" s="249"/>
      <c r="R103" s="249"/>
      <c r="S103" s="249"/>
      <c r="T103" s="249"/>
      <c r="U103" s="249"/>
      <c r="V103" s="249"/>
      <c r="W103" s="249"/>
      <c r="X103" s="249"/>
      <c r="Y103" s="337"/>
      <c r="Z103" s="451"/>
      <c r="AA103" s="403"/>
      <c r="AB103" s="403"/>
      <c r="AC103" s="403"/>
      <c r="AD103" s="189"/>
      <c r="AE103" s="189"/>
      <c r="AF103" s="189"/>
      <c r="AG103" s="189"/>
      <c r="AH103" s="189"/>
      <c r="AI103" s="189"/>
      <c r="AJ103" s="189"/>
      <c r="AK103" s="189"/>
      <c r="AL103" s="189"/>
      <c r="AM103" s="348"/>
      <c r="AN103" s="189"/>
      <c r="AO103" s="189"/>
      <c r="AP103" s="189"/>
      <c r="AQ103" s="189"/>
      <c r="BB103" s="189"/>
      <c r="BC103" s="189"/>
      <c r="BD103" s="189"/>
      <c r="BE103" s="189"/>
    </row>
    <row r="104" spans="1:57" ht="18" customHeight="1">
      <c r="A104" s="247" t="s">
        <v>21</v>
      </c>
      <c r="B104" s="249" t="s">
        <v>28</v>
      </c>
      <c r="C104" s="238">
        <f aca="true" t="shared" si="22" ref="C104:Z107">+C15-C66</f>
        <v>130.5</v>
      </c>
      <c r="D104" s="238">
        <f t="shared" si="22"/>
        <v>51.97</v>
      </c>
      <c r="E104" s="238">
        <f t="shared" si="22"/>
        <v>18.56</v>
      </c>
      <c r="F104" s="238">
        <f t="shared" si="22"/>
        <v>73.72</v>
      </c>
      <c r="G104" s="238"/>
      <c r="H104" s="238">
        <f t="shared" si="22"/>
        <v>31.880000000000003</v>
      </c>
      <c r="I104" s="238">
        <f t="shared" si="22"/>
        <v>12.469999999999999</v>
      </c>
      <c r="J104" s="238">
        <f t="shared" si="22"/>
        <v>6.800000000000001</v>
      </c>
      <c r="K104" s="238">
        <f t="shared" si="22"/>
        <v>0</v>
      </c>
      <c r="L104" s="238">
        <f t="shared" si="22"/>
        <v>0</v>
      </c>
      <c r="M104" s="238">
        <f t="shared" si="22"/>
        <v>0</v>
      </c>
      <c r="N104" s="238">
        <f t="shared" si="22"/>
        <v>0</v>
      </c>
      <c r="O104" s="238">
        <f t="shared" si="22"/>
        <v>8.46</v>
      </c>
      <c r="P104" s="238">
        <f t="shared" si="22"/>
        <v>5.919999999999998</v>
      </c>
      <c r="Q104" s="238">
        <f t="shared" si="22"/>
        <v>16.02</v>
      </c>
      <c r="R104" s="238">
        <f t="shared" si="22"/>
        <v>0</v>
      </c>
      <c r="S104" s="238">
        <f t="shared" si="22"/>
        <v>0</v>
      </c>
      <c r="T104" s="238">
        <f t="shared" si="22"/>
        <v>30.400000000000006</v>
      </c>
      <c r="U104" s="238">
        <f t="shared" si="22"/>
        <v>0</v>
      </c>
      <c r="V104" s="238">
        <f t="shared" si="22"/>
        <v>0</v>
      </c>
      <c r="W104" s="238">
        <f t="shared" si="22"/>
        <v>0</v>
      </c>
      <c r="X104" s="238">
        <f t="shared" si="22"/>
        <v>0</v>
      </c>
      <c r="Y104" s="335">
        <f t="shared" si="22"/>
        <v>0</v>
      </c>
      <c r="Z104" s="358">
        <f t="shared" si="22"/>
        <v>356.41713768445993</v>
      </c>
      <c r="AA104" s="285"/>
      <c r="AB104" s="285"/>
      <c r="AC104" s="285"/>
      <c r="AD104" s="284">
        <f>'[4]DEC -14 final result'!E22</f>
        <v>356.26</v>
      </c>
      <c r="AE104" s="284">
        <f aca="true" t="shared" si="23" ref="AE104:AE115">+Z104-AD104</f>
        <v>0.15713768445993992</v>
      </c>
      <c r="AF104" s="189"/>
      <c r="AG104" s="189"/>
      <c r="AH104" s="189"/>
      <c r="AI104" s="189"/>
      <c r="AJ104" s="189"/>
      <c r="AK104" s="189"/>
      <c r="AL104" s="189"/>
      <c r="AM104" s="348"/>
      <c r="AN104" s="189"/>
      <c r="AO104" s="189"/>
      <c r="AP104" s="189"/>
      <c r="AQ104" s="189"/>
      <c r="BB104" s="189"/>
      <c r="BC104" s="189"/>
      <c r="BD104" s="189"/>
      <c r="BE104" s="189"/>
    </row>
    <row r="105" spans="1:57" ht="18" customHeight="1">
      <c r="A105" s="247" t="s">
        <v>22</v>
      </c>
      <c r="B105" s="249" t="s">
        <v>25</v>
      </c>
      <c r="C105" s="238">
        <f t="shared" si="22"/>
        <v>322.21000000000004</v>
      </c>
      <c r="D105" s="238">
        <f t="shared" si="22"/>
        <v>55.2</v>
      </c>
      <c r="E105" s="238">
        <f t="shared" si="22"/>
        <v>16.93</v>
      </c>
      <c r="F105" s="238">
        <f t="shared" si="22"/>
        <v>137.43</v>
      </c>
      <c r="G105" s="238"/>
      <c r="H105" s="238">
        <f t="shared" si="22"/>
        <v>29.1</v>
      </c>
      <c r="I105" s="238">
        <f t="shared" si="22"/>
        <v>13.68</v>
      </c>
      <c r="J105" s="238">
        <f t="shared" si="22"/>
        <v>13.96</v>
      </c>
      <c r="K105" s="238">
        <f t="shared" si="22"/>
        <v>0</v>
      </c>
      <c r="L105" s="238">
        <f t="shared" si="22"/>
        <v>0</v>
      </c>
      <c r="M105" s="238">
        <f t="shared" si="22"/>
        <v>0</v>
      </c>
      <c r="N105" s="238">
        <f t="shared" si="22"/>
        <v>0</v>
      </c>
      <c r="O105" s="238">
        <f t="shared" si="22"/>
        <v>7.080000000000002</v>
      </c>
      <c r="P105" s="238">
        <f t="shared" si="22"/>
        <v>5.35</v>
      </c>
      <c r="Q105" s="238">
        <f t="shared" si="22"/>
        <v>11.610000000000003</v>
      </c>
      <c r="R105" s="238">
        <f t="shared" si="22"/>
        <v>0</v>
      </c>
      <c r="S105" s="238">
        <f t="shared" si="22"/>
        <v>0</v>
      </c>
      <c r="T105" s="238">
        <f t="shared" si="22"/>
        <v>24.040000000000006</v>
      </c>
      <c r="U105" s="238">
        <f t="shared" si="22"/>
        <v>2.67</v>
      </c>
      <c r="V105" s="238">
        <f t="shared" si="22"/>
        <v>23.25</v>
      </c>
      <c r="W105" s="238">
        <f t="shared" si="22"/>
        <v>0</v>
      </c>
      <c r="X105" s="238">
        <f t="shared" si="22"/>
        <v>0</v>
      </c>
      <c r="Y105" s="335">
        <f t="shared" si="22"/>
        <v>111.80000000000001</v>
      </c>
      <c r="Z105" s="358">
        <f t="shared" si="22"/>
        <v>750.5178536618691</v>
      </c>
      <c r="AA105" s="285"/>
      <c r="AB105" s="285"/>
      <c r="AC105" s="285"/>
      <c r="AD105" s="284">
        <f>'[4]DEC -14 final result'!E23</f>
        <v>783.2600000000002</v>
      </c>
      <c r="AE105" s="284">
        <f t="shared" si="23"/>
        <v>-32.74214633813108</v>
      </c>
      <c r="AF105" s="189"/>
      <c r="AG105" s="189"/>
      <c r="AH105" s="189"/>
      <c r="AI105" s="189"/>
      <c r="AJ105" s="189"/>
      <c r="AK105" s="189"/>
      <c r="AL105" s="189"/>
      <c r="AM105" s="348"/>
      <c r="AN105" s="189"/>
      <c r="AO105" s="189"/>
      <c r="AP105" s="189"/>
      <c r="AQ105" s="189"/>
      <c r="BB105" s="189"/>
      <c r="BC105" s="189"/>
      <c r="BD105" s="189"/>
      <c r="BE105" s="189"/>
    </row>
    <row r="106" spans="1:57" ht="18" customHeight="1">
      <c r="A106" s="247" t="s">
        <v>23</v>
      </c>
      <c r="B106" s="249" t="s">
        <v>26</v>
      </c>
      <c r="C106" s="238">
        <f t="shared" si="22"/>
        <v>185.94999999999993</v>
      </c>
      <c r="D106" s="238">
        <f t="shared" si="22"/>
        <v>35.74999999999999</v>
      </c>
      <c r="E106" s="238">
        <f t="shared" si="22"/>
        <v>6.84</v>
      </c>
      <c r="F106" s="238">
        <f t="shared" si="22"/>
        <v>125.87</v>
      </c>
      <c r="G106" s="238"/>
      <c r="H106" s="238">
        <f t="shared" si="22"/>
        <v>12.549999999999997</v>
      </c>
      <c r="I106" s="238">
        <f t="shared" si="22"/>
        <v>5.34</v>
      </c>
      <c r="J106" s="238">
        <f t="shared" si="22"/>
        <v>2.4399999999999995</v>
      </c>
      <c r="K106" s="238">
        <f t="shared" si="22"/>
        <v>0</v>
      </c>
      <c r="L106" s="238">
        <f t="shared" si="22"/>
        <v>0</v>
      </c>
      <c r="M106" s="238">
        <f t="shared" si="22"/>
        <v>0</v>
      </c>
      <c r="N106" s="238">
        <f t="shared" si="22"/>
        <v>0</v>
      </c>
      <c r="O106" s="238">
        <f t="shared" si="22"/>
        <v>4.15</v>
      </c>
      <c r="P106" s="238">
        <f t="shared" si="22"/>
        <v>2.709999999999999</v>
      </c>
      <c r="Q106" s="238">
        <f t="shared" si="22"/>
        <v>5.129999999999999</v>
      </c>
      <c r="R106" s="238">
        <f t="shared" si="22"/>
        <v>0</v>
      </c>
      <c r="S106" s="238">
        <f t="shared" si="22"/>
        <v>0</v>
      </c>
      <c r="T106" s="238">
        <f t="shared" si="22"/>
        <v>11.990000000000002</v>
      </c>
      <c r="U106" s="238">
        <f t="shared" si="22"/>
        <v>0</v>
      </c>
      <c r="V106" s="238">
        <f t="shared" si="22"/>
        <v>0</v>
      </c>
      <c r="W106" s="238">
        <f t="shared" si="22"/>
        <v>0</v>
      </c>
      <c r="X106" s="238">
        <f t="shared" si="22"/>
        <v>0</v>
      </c>
      <c r="Y106" s="335">
        <f t="shared" si="22"/>
        <v>-1.1300000000000003</v>
      </c>
      <c r="Z106" s="358">
        <f t="shared" si="22"/>
        <v>385.8421775368919</v>
      </c>
      <c r="AA106" s="285"/>
      <c r="AB106" s="285"/>
      <c r="AC106" s="285"/>
      <c r="AD106" s="284">
        <f>'[4]DEC -14 final result'!E24</f>
        <v>385.7800000000001</v>
      </c>
      <c r="AE106" s="284">
        <f t="shared" si="23"/>
        <v>0.06217753689179517</v>
      </c>
      <c r="AF106" s="189"/>
      <c r="AG106" s="189"/>
      <c r="AH106" s="189"/>
      <c r="AI106" s="189"/>
      <c r="AJ106" s="189"/>
      <c r="AK106" s="189"/>
      <c r="AL106" s="189"/>
      <c r="AM106" s="348"/>
      <c r="AN106" s="189"/>
      <c r="AO106" s="189"/>
      <c r="AP106" s="189"/>
      <c r="AQ106" s="189"/>
      <c r="BB106" s="189"/>
      <c r="BC106" s="189"/>
      <c r="BD106" s="189"/>
      <c r="BE106" s="189"/>
    </row>
    <row r="107" spans="1:57" ht="18" customHeight="1">
      <c r="A107" s="247" t="s">
        <v>24</v>
      </c>
      <c r="B107" s="249" t="s">
        <v>27</v>
      </c>
      <c r="C107" s="238">
        <f t="shared" si="22"/>
        <v>435.89</v>
      </c>
      <c r="D107" s="238">
        <f t="shared" si="22"/>
        <v>126.94</v>
      </c>
      <c r="E107" s="238">
        <f t="shared" si="22"/>
        <v>24.9</v>
      </c>
      <c r="F107" s="238">
        <f t="shared" si="22"/>
        <v>173.82999999999998</v>
      </c>
      <c r="G107" s="238"/>
      <c r="H107" s="238">
        <f t="shared" si="22"/>
        <v>16.020000000000003</v>
      </c>
      <c r="I107" s="238">
        <f t="shared" si="22"/>
        <v>14.010000000000002</v>
      </c>
      <c r="J107" s="238">
        <f t="shared" si="22"/>
        <v>15.200000000000003</v>
      </c>
      <c r="K107" s="238">
        <f t="shared" si="22"/>
        <v>0</v>
      </c>
      <c r="L107" s="238">
        <f t="shared" si="22"/>
        <v>0</v>
      </c>
      <c r="M107" s="238">
        <f t="shared" si="22"/>
        <v>0</v>
      </c>
      <c r="N107" s="238">
        <f t="shared" si="22"/>
        <v>-0.010000000000000009</v>
      </c>
      <c r="O107" s="238">
        <f t="shared" si="22"/>
        <v>5.41</v>
      </c>
      <c r="P107" s="238">
        <f t="shared" si="22"/>
        <v>4.99</v>
      </c>
      <c r="Q107" s="238">
        <f t="shared" si="22"/>
        <v>9.620000000000001</v>
      </c>
      <c r="R107" s="238">
        <f t="shared" si="22"/>
        <v>0</v>
      </c>
      <c r="S107" s="238">
        <f t="shared" si="22"/>
        <v>0</v>
      </c>
      <c r="T107" s="238">
        <f t="shared" si="22"/>
        <v>20.00999999999999</v>
      </c>
      <c r="U107" s="238">
        <f t="shared" si="22"/>
        <v>32.8</v>
      </c>
      <c r="V107" s="238">
        <f t="shared" si="22"/>
        <v>9.489999999999998</v>
      </c>
      <c r="W107" s="238">
        <f t="shared" si="22"/>
        <v>0</v>
      </c>
      <c r="X107" s="238">
        <f t="shared" si="22"/>
        <v>0</v>
      </c>
      <c r="Y107" s="335">
        <f t="shared" si="22"/>
        <v>79.26999999999998</v>
      </c>
      <c r="Z107" s="358">
        <f t="shared" si="22"/>
        <v>948.6373103024241</v>
      </c>
      <c r="AA107" s="285"/>
      <c r="AB107" s="285"/>
      <c r="AC107" s="285"/>
      <c r="AD107" s="284">
        <f>'[4]DEC -14 final result'!E26</f>
        <v>923.48</v>
      </c>
      <c r="AE107" s="284">
        <f t="shared" si="23"/>
        <v>25.157310302424094</v>
      </c>
      <c r="AF107" s="189"/>
      <c r="AG107" s="189"/>
      <c r="AH107" s="189"/>
      <c r="AI107" s="189"/>
      <c r="AJ107" s="189"/>
      <c r="AK107" s="189"/>
      <c r="AL107" s="189"/>
      <c r="AM107" s="348"/>
      <c r="AN107" s="189"/>
      <c r="AO107" s="189"/>
      <c r="AP107" s="189"/>
      <c r="AQ107" s="189"/>
      <c r="BB107" s="189"/>
      <c r="BC107" s="189"/>
      <c r="BD107" s="189"/>
      <c r="BE107" s="189"/>
    </row>
    <row r="108" spans="1:57" ht="18" customHeight="1">
      <c r="A108" s="247"/>
      <c r="B108" s="250" t="s">
        <v>164</v>
      </c>
      <c r="C108" s="239">
        <f>SUM(C104:C107)</f>
        <v>1074.55</v>
      </c>
      <c r="D108" s="239">
        <f aca="true" t="shared" si="24" ref="D108:AD108">SUM(D104:D107)</f>
        <v>269.86</v>
      </c>
      <c r="E108" s="239">
        <f t="shared" si="24"/>
        <v>67.22999999999999</v>
      </c>
      <c r="F108" s="239">
        <f t="shared" si="24"/>
        <v>510.84999999999997</v>
      </c>
      <c r="G108" s="239"/>
      <c r="H108" s="239">
        <f t="shared" si="24"/>
        <v>89.55000000000001</v>
      </c>
      <c r="I108" s="239">
        <f t="shared" si="24"/>
        <v>45.5</v>
      </c>
      <c r="J108" s="239">
        <f t="shared" si="24"/>
        <v>38.400000000000006</v>
      </c>
      <c r="K108" s="239">
        <f t="shared" si="24"/>
        <v>0</v>
      </c>
      <c r="L108" s="239">
        <f t="shared" si="24"/>
        <v>0</v>
      </c>
      <c r="M108" s="239">
        <f t="shared" si="24"/>
        <v>0</v>
      </c>
      <c r="N108" s="239">
        <f t="shared" si="24"/>
        <v>-0.010000000000000009</v>
      </c>
      <c r="O108" s="239">
        <f t="shared" si="24"/>
        <v>25.100000000000005</v>
      </c>
      <c r="P108" s="239">
        <f t="shared" si="24"/>
        <v>18.97</v>
      </c>
      <c r="Q108" s="239">
        <f t="shared" si="24"/>
        <v>42.38000000000001</v>
      </c>
      <c r="R108" s="239">
        <f>SUM(R104:R107)</f>
        <v>0</v>
      </c>
      <c r="S108" s="239">
        <f>SUM(S104:S107)</f>
        <v>0</v>
      </c>
      <c r="T108" s="239">
        <f t="shared" si="24"/>
        <v>86.44</v>
      </c>
      <c r="U108" s="239">
        <f t="shared" si="24"/>
        <v>35.47</v>
      </c>
      <c r="V108" s="239">
        <f t="shared" si="24"/>
        <v>32.739999999999995</v>
      </c>
      <c r="W108" s="239">
        <f t="shared" si="24"/>
        <v>0</v>
      </c>
      <c r="X108" s="239">
        <f t="shared" si="24"/>
        <v>0</v>
      </c>
      <c r="Y108" s="336">
        <f t="shared" si="24"/>
        <v>189.94</v>
      </c>
      <c r="Z108" s="359">
        <f t="shared" si="24"/>
        <v>2441.414479185645</v>
      </c>
      <c r="AA108" s="387"/>
      <c r="AB108" s="405"/>
      <c r="AC108" s="359"/>
      <c r="AD108" s="359">
        <f t="shared" si="24"/>
        <v>2448.78</v>
      </c>
      <c r="AE108" s="284">
        <f t="shared" si="23"/>
        <v>-7.365520814355023</v>
      </c>
      <c r="AF108" s="189"/>
      <c r="AG108" s="189"/>
      <c r="AH108" s="189"/>
      <c r="AI108" s="189"/>
      <c r="AJ108" s="189"/>
      <c r="AK108" s="189"/>
      <c r="AL108" s="189"/>
      <c r="AM108" s="348"/>
      <c r="AN108" s="189"/>
      <c r="AO108" s="189"/>
      <c r="AP108" s="189"/>
      <c r="AQ108" s="189"/>
      <c r="BB108" s="189"/>
      <c r="BC108" s="189"/>
      <c r="BD108" s="189"/>
      <c r="BE108" s="189"/>
    </row>
    <row r="109" spans="1:57" ht="18" customHeight="1">
      <c r="A109" s="247">
        <v>5</v>
      </c>
      <c r="B109" s="249" t="s">
        <v>17</v>
      </c>
      <c r="C109" s="238">
        <f>+C102-C108</f>
        <v>881.1499999999996</v>
      </c>
      <c r="D109" s="238">
        <f aca="true" t="shared" si="25" ref="D109:AD109">+D102-D108</f>
        <v>109.95007000000004</v>
      </c>
      <c r="E109" s="238">
        <f t="shared" si="25"/>
        <v>19.240000000000023</v>
      </c>
      <c r="F109" s="238">
        <f t="shared" si="25"/>
        <v>142.29000000000002</v>
      </c>
      <c r="G109" s="238"/>
      <c r="H109" s="238">
        <f t="shared" si="25"/>
        <v>28.499999999999986</v>
      </c>
      <c r="I109" s="238">
        <f t="shared" si="25"/>
        <v>41.44999999999999</v>
      </c>
      <c r="J109" s="238">
        <f t="shared" si="25"/>
        <v>54.74000000000001</v>
      </c>
      <c r="K109" s="238">
        <f t="shared" si="25"/>
        <v>0</v>
      </c>
      <c r="L109" s="238">
        <f t="shared" si="25"/>
        <v>0</v>
      </c>
      <c r="M109" s="238">
        <f t="shared" si="25"/>
        <v>0</v>
      </c>
      <c r="N109" s="238">
        <f t="shared" si="25"/>
        <v>0.010000000000000009</v>
      </c>
      <c r="O109" s="238">
        <f t="shared" si="25"/>
        <v>4.900000000000006</v>
      </c>
      <c r="P109" s="238">
        <f t="shared" si="25"/>
        <v>3.5199999999999996</v>
      </c>
      <c r="Q109" s="238">
        <f t="shared" si="25"/>
        <v>25.209999999999994</v>
      </c>
      <c r="R109" s="238">
        <f t="shared" si="25"/>
        <v>0</v>
      </c>
      <c r="S109" s="238">
        <f t="shared" si="25"/>
        <v>0</v>
      </c>
      <c r="T109" s="238">
        <f t="shared" si="25"/>
        <v>33.63999999999996</v>
      </c>
      <c r="U109" s="238">
        <f t="shared" si="25"/>
        <v>48.31</v>
      </c>
      <c r="V109" s="238">
        <f t="shared" si="25"/>
        <v>20.890000000000015</v>
      </c>
      <c r="W109" s="238">
        <f t="shared" si="25"/>
        <v>0</v>
      </c>
      <c r="X109" s="238">
        <f t="shared" si="25"/>
        <v>0</v>
      </c>
      <c r="Y109" s="335">
        <f t="shared" si="25"/>
        <v>-78.07</v>
      </c>
      <c r="Z109" s="358">
        <f t="shared" si="25"/>
        <v>1302.2055908143552</v>
      </c>
      <c r="AA109" s="285"/>
      <c r="AB109" s="406"/>
      <c r="AC109" s="358"/>
      <c r="AD109" s="358">
        <f t="shared" si="25"/>
        <v>1295.85</v>
      </c>
      <c r="AE109" s="284">
        <f t="shared" si="23"/>
        <v>6.35559081435531</v>
      </c>
      <c r="AF109" s="189"/>
      <c r="AG109" s="189"/>
      <c r="AH109" s="189"/>
      <c r="AI109" s="189"/>
      <c r="AJ109" s="189"/>
      <c r="AK109" s="189"/>
      <c r="AL109" s="189"/>
      <c r="AM109" s="348"/>
      <c r="AN109" s="189"/>
      <c r="AO109" s="189"/>
      <c r="AP109" s="189"/>
      <c r="AQ109" s="189"/>
      <c r="BB109" s="189"/>
      <c r="BC109" s="189"/>
      <c r="BD109" s="189"/>
      <c r="BE109" s="189"/>
    </row>
    <row r="110" spans="1:57" ht="18" customHeight="1">
      <c r="A110" s="247">
        <v>8</v>
      </c>
      <c r="B110" s="253" t="s">
        <v>42</v>
      </c>
      <c r="C110" s="238">
        <f>+C21-C72</f>
        <v>188.88000000000005</v>
      </c>
      <c r="D110" s="238">
        <f aca="true" t="shared" si="26" ref="D110:Z110">+D21-D72</f>
        <v>75.19999999999999</v>
      </c>
      <c r="E110" s="238">
        <f t="shared" si="26"/>
        <v>0.23000000000000004</v>
      </c>
      <c r="F110" s="238">
        <f t="shared" si="26"/>
        <v>133.35000000000002</v>
      </c>
      <c r="G110" s="238"/>
      <c r="H110" s="238">
        <f t="shared" si="26"/>
        <v>7.879999999999999</v>
      </c>
      <c r="I110" s="238">
        <f t="shared" si="26"/>
        <v>6.610000000000001</v>
      </c>
      <c r="J110" s="238">
        <f t="shared" si="26"/>
        <v>6.960000000000001</v>
      </c>
      <c r="K110" s="238">
        <f t="shared" si="26"/>
        <v>0</v>
      </c>
      <c r="L110" s="238">
        <f t="shared" si="26"/>
        <v>0.25</v>
      </c>
      <c r="M110" s="238">
        <f t="shared" si="26"/>
        <v>0</v>
      </c>
      <c r="N110" s="238">
        <f t="shared" si="26"/>
        <v>0</v>
      </c>
      <c r="O110" s="238">
        <f t="shared" si="26"/>
        <v>5.93</v>
      </c>
      <c r="P110" s="238">
        <f t="shared" si="26"/>
        <v>0.74</v>
      </c>
      <c r="Q110" s="238">
        <f t="shared" si="26"/>
        <v>0.6499999999999999</v>
      </c>
      <c r="R110" s="238">
        <f t="shared" si="26"/>
        <v>0</v>
      </c>
      <c r="S110" s="238">
        <f t="shared" si="26"/>
        <v>0</v>
      </c>
      <c r="T110" s="238">
        <f t="shared" si="26"/>
        <v>7.570000000000004</v>
      </c>
      <c r="U110" s="238">
        <f t="shared" si="26"/>
        <v>0</v>
      </c>
      <c r="V110" s="238">
        <f t="shared" si="26"/>
        <v>0</v>
      </c>
      <c r="W110" s="238">
        <f t="shared" si="26"/>
        <v>0</v>
      </c>
      <c r="X110" s="238">
        <f t="shared" si="26"/>
        <v>0</v>
      </c>
      <c r="Y110" s="335">
        <f t="shared" si="26"/>
        <v>21.450000000000003</v>
      </c>
      <c r="Z110" s="358">
        <f t="shared" si="26"/>
        <v>448.35686850974696</v>
      </c>
      <c r="AA110" s="285"/>
      <c r="AB110" s="285"/>
      <c r="AC110" s="285"/>
      <c r="AD110" s="284">
        <f>'[4]DEC -14 final result'!E25</f>
        <v>448.08000000000015</v>
      </c>
      <c r="AE110" s="284">
        <f t="shared" si="23"/>
        <v>0.2768685097468051</v>
      </c>
      <c r="AF110" s="189"/>
      <c r="AG110" s="189"/>
      <c r="AH110" s="189"/>
      <c r="AI110" s="189"/>
      <c r="AJ110" s="189"/>
      <c r="AK110" s="189"/>
      <c r="AL110" s="189"/>
      <c r="AM110" s="348"/>
      <c r="AN110" s="189"/>
      <c r="AO110" s="189"/>
      <c r="AP110" s="189"/>
      <c r="AQ110" s="189"/>
      <c r="BB110" s="189"/>
      <c r="BC110" s="189"/>
      <c r="BD110" s="189"/>
      <c r="BE110" s="189"/>
    </row>
    <row r="111" spans="1:57" ht="28.5" customHeight="1">
      <c r="A111" s="246">
        <v>9</v>
      </c>
      <c r="B111" s="217" t="s">
        <v>174</v>
      </c>
      <c r="C111" s="239">
        <f>+C109-C110</f>
        <v>692.2699999999995</v>
      </c>
      <c r="D111" s="239">
        <f aca="true" t="shared" si="27" ref="D111:AD111">+D109-D110</f>
        <v>34.75007000000005</v>
      </c>
      <c r="E111" s="239">
        <f t="shared" si="27"/>
        <v>19.010000000000023</v>
      </c>
      <c r="F111" s="239">
        <f t="shared" si="27"/>
        <v>8.939999999999998</v>
      </c>
      <c r="G111" s="239"/>
      <c r="H111" s="239">
        <f t="shared" si="27"/>
        <v>20.619999999999987</v>
      </c>
      <c r="I111" s="239">
        <f t="shared" si="27"/>
        <v>34.83999999999999</v>
      </c>
      <c r="J111" s="239">
        <f t="shared" si="27"/>
        <v>47.78000000000001</v>
      </c>
      <c r="K111" s="239">
        <f t="shared" si="27"/>
        <v>0</v>
      </c>
      <c r="L111" s="239">
        <f t="shared" si="27"/>
        <v>-0.25</v>
      </c>
      <c r="M111" s="239">
        <f t="shared" si="27"/>
        <v>0</v>
      </c>
      <c r="N111" s="239">
        <f t="shared" si="27"/>
        <v>0.010000000000000009</v>
      </c>
      <c r="O111" s="239">
        <f t="shared" si="27"/>
        <v>-1.029999999999994</v>
      </c>
      <c r="P111" s="239">
        <f t="shared" si="27"/>
        <v>2.7799999999999994</v>
      </c>
      <c r="Q111" s="239">
        <f t="shared" si="27"/>
        <v>24.559999999999995</v>
      </c>
      <c r="R111" s="239">
        <f>+R109-R110</f>
        <v>0</v>
      </c>
      <c r="S111" s="239">
        <f>+S109-S110</f>
        <v>0</v>
      </c>
      <c r="T111" s="239">
        <f t="shared" si="27"/>
        <v>26.069999999999954</v>
      </c>
      <c r="U111" s="239">
        <f t="shared" si="27"/>
        <v>48.31</v>
      </c>
      <c r="V111" s="239">
        <f t="shared" si="27"/>
        <v>20.890000000000015</v>
      </c>
      <c r="W111" s="239">
        <f t="shared" si="27"/>
        <v>0</v>
      </c>
      <c r="X111" s="239">
        <f t="shared" si="27"/>
        <v>0</v>
      </c>
      <c r="Y111" s="336">
        <f t="shared" si="27"/>
        <v>-99.52</v>
      </c>
      <c r="Z111" s="359">
        <f t="shared" si="27"/>
        <v>853.8487223046083</v>
      </c>
      <c r="AA111" s="387"/>
      <c r="AB111" s="405"/>
      <c r="AC111" s="359"/>
      <c r="AD111" s="359">
        <f t="shared" si="27"/>
        <v>847.7699999999998</v>
      </c>
      <c r="AE111" s="284">
        <f t="shared" si="23"/>
        <v>6.078722304608505</v>
      </c>
      <c r="AF111" s="189"/>
      <c r="AG111" s="189"/>
      <c r="AH111" s="189"/>
      <c r="AI111" s="189"/>
      <c r="AJ111" s="189"/>
      <c r="AK111" s="189"/>
      <c r="AL111" s="189"/>
      <c r="AM111" s="348"/>
      <c r="AN111" s="189"/>
      <c r="AO111" s="189"/>
      <c r="AP111" s="189"/>
      <c r="AQ111" s="189"/>
      <c r="BB111" s="189"/>
      <c r="BC111" s="189"/>
      <c r="BD111" s="189"/>
      <c r="BE111" s="189"/>
    </row>
    <row r="112" spans="1:57" ht="38.25">
      <c r="A112" s="422">
        <v>9</v>
      </c>
      <c r="B112" s="258" t="s">
        <v>238</v>
      </c>
      <c r="C112" s="240">
        <f>+C23-C74</f>
        <v>-12.786752623820803</v>
      </c>
      <c r="D112" s="240">
        <f aca="true" t="shared" si="28" ref="D112:Z114">+D23-D74</f>
        <v>-4.72461986346832</v>
      </c>
      <c r="E112" s="240">
        <f t="shared" si="28"/>
        <v>-0.012792346151201006</v>
      </c>
      <c r="F112" s="240">
        <f t="shared" si="28"/>
        <v>-8.367786541302735</v>
      </c>
      <c r="G112" s="240"/>
      <c r="H112" s="240">
        <f t="shared" si="28"/>
        <v>-0.4077379043051579</v>
      </c>
      <c r="I112" s="240">
        <f t="shared" si="28"/>
        <v>-0.3768116925585474</v>
      </c>
      <c r="J112" s="240">
        <f t="shared" si="28"/>
        <v>-0.4151003589202311</v>
      </c>
      <c r="K112" s="240">
        <f t="shared" si="28"/>
        <v>0</v>
      </c>
      <c r="L112" s="240">
        <f t="shared" si="28"/>
        <v>0</v>
      </c>
      <c r="M112" s="240">
        <f t="shared" si="28"/>
        <v>0</v>
      </c>
      <c r="N112" s="240">
        <f t="shared" si="28"/>
        <v>0</v>
      </c>
      <c r="O112" s="240">
        <f t="shared" si="28"/>
        <v>0</v>
      </c>
      <c r="P112" s="240">
        <f t="shared" si="28"/>
        <v>0</v>
      </c>
      <c r="Q112" s="240">
        <f t="shared" si="28"/>
        <v>0</v>
      </c>
      <c r="R112" s="240">
        <f t="shared" si="28"/>
        <v>0</v>
      </c>
      <c r="S112" s="240">
        <f t="shared" si="28"/>
        <v>-0.5138421446132941</v>
      </c>
      <c r="T112" s="240">
        <f t="shared" si="28"/>
        <v>-0.5138421446132941</v>
      </c>
      <c r="U112" s="240">
        <f t="shared" si="28"/>
        <v>0</v>
      </c>
      <c r="V112" s="240">
        <f t="shared" si="28"/>
        <v>0</v>
      </c>
      <c r="W112" s="240">
        <f t="shared" si="28"/>
        <v>-0.0006119999999896208</v>
      </c>
      <c r="X112" s="240">
        <f t="shared" si="28"/>
        <v>-0.003379999999424399</v>
      </c>
      <c r="Y112" s="338">
        <f t="shared" si="28"/>
        <v>806.4354354751399</v>
      </c>
      <c r="Z112" s="360">
        <f t="shared" si="28"/>
        <v>779.1916552955108</v>
      </c>
      <c r="AA112" s="285"/>
      <c r="AB112" s="407"/>
      <c r="AC112" s="360"/>
      <c r="AD112" s="360">
        <f>'[4]DEC -14 final result'!E31</f>
        <v>411.85000000000036</v>
      </c>
      <c r="AE112" s="284">
        <f t="shared" si="23"/>
        <v>367.34165529551046</v>
      </c>
      <c r="AF112" s="189"/>
      <c r="AG112" s="189"/>
      <c r="AH112" s="189"/>
      <c r="AI112" s="189"/>
      <c r="AJ112" s="189"/>
      <c r="AK112" s="189"/>
      <c r="AL112" s="189"/>
      <c r="AM112" s="348"/>
      <c r="AN112" s="189"/>
      <c r="AO112" s="189"/>
      <c r="AP112" s="189"/>
      <c r="AQ112" s="189"/>
      <c r="BB112" s="189"/>
      <c r="BC112" s="189"/>
      <c r="BD112" s="189"/>
      <c r="BE112" s="189"/>
    </row>
    <row r="113" spans="1:57" ht="18" customHeight="1">
      <c r="A113" s="441">
        <v>10</v>
      </c>
      <c r="B113" s="260" t="s">
        <v>109</v>
      </c>
      <c r="C113" s="261">
        <f>+C24-C75</f>
        <v>0</v>
      </c>
      <c r="D113" s="261">
        <f t="shared" si="28"/>
        <v>0</v>
      </c>
      <c r="E113" s="261">
        <f t="shared" si="28"/>
        <v>0</v>
      </c>
      <c r="F113" s="261">
        <f t="shared" si="28"/>
        <v>0</v>
      </c>
      <c r="G113" s="261"/>
      <c r="H113" s="261">
        <f t="shared" si="28"/>
        <v>0</v>
      </c>
      <c r="I113" s="261">
        <f t="shared" si="28"/>
        <v>0</v>
      </c>
      <c r="J113" s="261">
        <f t="shared" si="28"/>
        <v>0</v>
      </c>
      <c r="K113" s="261">
        <f t="shared" si="28"/>
        <v>0</v>
      </c>
      <c r="L113" s="261">
        <f t="shared" si="28"/>
        <v>0</v>
      </c>
      <c r="M113" s="261">
        <f t="shared" si="28"/>
        <v>0</v>
      </c>
      <c r="N113" s="261">
        <f t="shared" si="28"/>
        <v>0</v>
      </c>
      <c r="O113" s="261">
        <f t="shared" si="28"/>
        <v>0</v>
      </c>
      <c r="P113" s="261">
        <f t="shared" si="28"/>
        <v>0</v>
      </c>
      <c r="Q113" s="261">
        <f t="shared" si="28"/>
        <v>0</v>
      </c>
      <c r="R113" s="261">
        <f t="shared" si="28"/>
        <v>0</v>
      </c>
      <c r="S113" s="261">
        <f t="shared" si="28"/>
        <v>0</v>
      </c>
      <c r="T113" s="261">
        <f t="shared" si="28"/>
        <v>0</v>
      </c>
      <c r="U113" s="261">
        <f t="shared" si="28"/>
        <v>0</v>
      </c>
      <c r="V113" s="261">
        <f t="shared" si="28"/>
        <v>0</v>
      </c>
      <c r="W113" s="261">
        <f t="shared" si="28"/>
        <v>0</v>
      </c>
      <c r="X113" s="261">
        <f t="shared" si="28"/>
        <v>0</v>
      </c>
      <c r="Y113" s="339">
        <f t="shared" si="28"/>
        <v>0</v>
      </c>
      <c r="Z113" s="261">
        <f t="shared" si="28"/>
        <v>0</v>
      </c>
      <c r="AA113" s="285"/>
      <c r="AB113" s="285"/>
      <c r="AC113" s="285"/>
      <c r="AD113" s="284">
        <f>'[4]DEC -14 final result'!E33</f>
        <v>0.15</v>
      </c>
      <c r="AE113" s="284">
        <f t="shared" si="23"/>
        <v>-0.15</v>
      </c>
      <c r="AF113" s="189"/>
      <c r="AG113" s="189"/>
      <c r="AH113" s="189"/>
      <c r="AI113" s="189"/>
      <c r="AJ113" s="189"/>
      <c r="AK113" s="189"/>
      <c r="AL113" s="189"/>
      <c r="AM113" s="189"/>
      <c r="AN113" s="189"/>
      <c r="AO113" s="189"/>
      <c r="AP113" s="189"/>
      <c r="AQ113" s="189"/>
      <c r="BB113" s="189"/>
      <c r="BC113" s="189"/>
      <c r="BD113" s="189"/>
      <c r="BE113" s="189"/>
    </row>
    <row r="114" spans="1:57" ht="18" customHeight="1" hidden="1">
      <c r="A114" s="441">
        <v>12</v>
      </c>
      <c r="B114" s="260" t="s">
        <v>248</v>
      </c>
      <c r="C114" s="261">
        <f>+C25-C76</f>
        <v>0</v>
      </c>
      <c r="D114" s="261">
        <f t="shared" si="28"/>
        <v>0</v>
      </c>
      <c r="E114" s="261">
        <f t="shared" si="28"/>
        <v>0</v>
      </c>
      <c r="F114" s="261">
        <f t="shared" si="28"/>
        <v>0</v>
      </c>
      <c r="G114" s="261"/>
      <c r="H114" s="261">
        <f t="shared" si="28"/>
        <v>0</v>
      </c>
      <c r="I114" s="261">
        <f t="shared" si="28"/>
        <v>0</v>
      </c>
      <c r="J114" s="261">
        <f t="shared" si="28"/>
        <v>0</v>
      </c>
      <c r="K114" s="261">
        <f t="shared" si="28"/>
        <v>0</v>
      </c>
      <c r="L114" s="261">
        <f t="shared" si="28"/>
        <v>0</v>
      </c>
      <c r="M114" s="261">
        <f t="shared" si="28"/>
        <v>0</v>
      </c>
      <c r="N114" s="261">
        <f t="shared" si="28"/>
        <v>0</v>
      </c>
      <c r="O114" s="261">
        <f t="shared" si="28"/>
        <v>0</v>
      </c>
      <c r="P114" s="261">
        <f t="shared" si="28"/>
        <v>0</v>
      </c>
      <c r="Q114" s="261">
        <f t="shared" si="28"/>
        <v>0</v>
      </c>
      <c r="R114" s="261">
        <f t="shared" si="28"/>
        <v>0</v>
      </c>
      <c r="S114" s="261">
        <f t="shared" si="28"/>
        <v>0</v>
      </c>
      <c r="T114" s="261">
        <f t="shared" si="28"/>
        <v>0</v>
      </c>
      <c r="U114" s="261">
        <f t="shared" si="28"/>
        <v>0</v>
      </c>
      <c r="V114" s="261">
        <f t="shared" si="28"/>
        <v>0</v>
      </c>
      <c r="W114" s="261">
        <f t="shared" si="28"/>
        <v>0</v>
      </c>
      <c r="X114" s="261">
        <f t="shared" si="28"/>
        <v>0</v>
      </c>
      <c r="Y114" s="339">
        <f t="shared" si="28"/>
        <v>0</v>
      </c>
      <c r="Z114" s="261">
        <f t="shared" si="28"/>
        <v>0</v>
      </c>
      <c r="AA114" s="285"/>
      <c r="AB114" s="285"/>
      <c r="AC114" s="285"/>
      <c r="AD114" s="189"/>
      <c r="AE114" s="284">
        <f t="shared" si="23"/>
        <v>0</v>
      </c>
      <c r="AF114" s="189"/>
      <c r="AG114" s="189"/>
      <c r="AH114" s="189"/>
      <c r="AI114" s="189"/>
      <c r="AJ114" s="189"/>
      <c r="AK114" s="189"/>
      <c r="AL114" s="189"/>
      <c r="AM114" s="189"/>
      <c r="AN114" s="189"/>
      <c r="AO114" s="189"/>
      <c r="AP114" s="189"/>
      <c r="AQ114" s="189"/>
      <c r="BB114" s="189"/>
      <c r="BC114" s="189"/>
      <c r="BD114" s="189"/>
      <c r="BE114" s="189"/>
    </row>
    <row r="115" spans="1:57" ht="32.25" customHeight="1">
      <c r="A115" s="442">
        <v>11</v>
      </c>
      <c r="B115" s="218" t="s">
        <v>148</v>
      </c>
      <c r="C115" s="241">
        <f>+C111-C112+C113-C114</f>
        <v>705.0567526238203</v>
      </c>
      <c r="D115" s="241">
        <f aca="true" t="shared" si="29" ref="D115:AD115">+D111-D112+D113-D114</f>
        <v>39.47468986346837</v>
      </c>
      <c r="E115" s="241">
        <f t="shared" si="29"/>
        <v>19.022792346151224</v>
      </c>
      <c r="F115" s="241">
        <f t="shared" si="29"/>
        <v>17.307786541302733</v>
      </c>
      <c r="G115" s="241"/>
      <c r="H115" s="241">
        <f t="shared" si="29"/>
        <v>21.027737904305145</v>
      </c>
      <c r="I115" s="241">
        <f t="shared" si="29"/>
        <v>35.21681169255854</v>
      </c>
      <c r="J115" s="241">
        <f t="shared" si="29"/>
        <v>48.19510035892024</v>
      </c>
      <c r="K115" s="241">
        <f t="shared" si="29"/>
        <v>0</v>
      </c>
      <c r="L115" s="241">
        <f t="shared" si="29"/>
        <v>-0.25</v>
      </c>
      <c r="M115" s="241">
        <f t="shared" si="29"/>
        <v>0</v>
      </c>
      <c r="N115" s="241">
        <f t="shared" si="29"/>
        <v>0.010000000000000009</v>
      </c>
      <c r="O115" s="241">
        <f t="shared" si="29"/>
        <v>-1.029999999999994</v>
      </c>
      <c r="P115" s="241">
        <f t="shared" si="29"/>
        <v>2.7799999999999994</v>
      </c>
      <c r="Q115" s="241">
        <f t="shared" si="29"/>
        <v>24.559999999999995</v>
      </c>
      <c r="R115" s="241">
        <f t="shared" si="29"/>
        <v>0</v>
      </c>
      <c r="S115" s="241">
        <f t="shared" si="29"/>
        <v>0.5138421446132941</v>
      </c>
      <c r="T115" s="241">
        <f t="shared" si="29"/>
        <v>26.58384214461325</v>
      </c>
      <c r="U115" s="241">
        <f t="shared" si="29"/>
        <v>48.31</v>
      </c>
      <c r="V115" s="241">
        <f t="shared" si="29"/>
        <v>20.890000000000015</v>
      </c>
      <c r="W115" s="241">
        <f t="shared" si="29"/>
        <v>0.0006119999999896208</v>
      </c>
      <c r="X115" s="241">
        <f t="shared" si="29"/>
        <v>0.003379999999424399</v>
      </c>
      <c r="Y115" s="340">
        <f t="shared" si="29"/>
        <v>-905.9554354751399</v>
      </c>
      <c r="Z115" s="361">
        <f t="shared" si="29"/>
        <v>74.65706700909743</v>
      </c>
      <c r="AA115" s="387"/>
      <c r="AB115" s="408"/>
      <c r="AC115" s="361"/>
      <c r="AD115" s="361">
        <f t="shared" si="29"/>
        <v>436.06999999999937</v>
      </c>
      <c r="AE115" s="284">
        <f t="shared" si="23"/>
        <v>-361.41293299090194</v>
      </c>
      <c r="AF115" s="189"/>
      <c r="AG115" s="189"/>
      <c r="AH115" s="189"/>
      <c r="AI115" s="189"/>
      <c r="AJ115" s="189"/>
      <c r="AK115" s="189"/>
      <c r="AL115" s="189"/>
      <c r="AM115" s="189"/>
      <c r="AN115" s="189"/>
      <c r="AO115" s="189"/>
      <c r="AP115" s="189"/>
      <c r="AQ115" s="189"/>
      <c r="BB115" s="189"/>
      <c r="BC115" s="189"/>
      <c r="BD115" s="189"/>
      <c r="BE115" s="189"/>
    </row>
    <row r="116" spans="1:57" ht="18" customHeight="1" hidden="1">
      <c r="A116" s="414">
        <v>11</v>
      </c>
      <c r="B116" s="415" t="s">
        <v>109</v>
      </c>
      <c r="C116" s="94"/>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190"/>
      <c r="AB116" s="190"/>
      <c r="AC116" s="190"/>
      <c r="AD116" s="189"/>
      <c r="AE116" s="189"/>
      <c r="AF116" s="189"/>
      <c r="AG116" s="189"/>
      <c r="AH116" s="189"/>
      <c r="AI116" s="189"/>
      <c r="AJ116" s="189"/>
      <c r="AK116" s="189"/>
      <c r="AL116" s="189"/>
      <c r="AM116" s="189"/>
      <c r="AN116" s="189"/>
      <c r="AO116" s="189"/>
      <c r="AP116" s="189"/>
      <c r="AQ116" s="189"/>
      <c r="BB116" s="189"/>
      <c r="BC116" s="189"/>
      <c r="BD116" s="189"/>
      <c r="BE116" s="189"/>
    </row>
    <row r="117" spans="1:57" ht="40.5" customHeight="1" hidden="1">
      <c r="A117" s="416"/>
      <c r="B117" s="417" t="s">
        <v>145</v>
      </c>
      <c r="C117" s="171">
        <f>+C28-C79</f>
        <v>0</v>
      </c>
      <c r="D117" s="171">
        <f aca="true" t="shared" si="30" ref="D117:T119">+D28-D79</f>
        <v>0</v>
      </c>
      <c r="E117" s="171">
        <f t="shared" si="30"/>
        <v>0</v>
      </c>
      <c r="F117" s="171">
        <f t="shared" si="30"/>
        <v>0</v>
      </c>
      <c r="G117" s="171"/>
      <c r="H117" s="171">
        <f t="shared" si="30"/>
        <v>0</v>
      </c>
      <c r="I117" s="171">
        <f t="shared" si="30"/>
        <v>0</v>
      </c>
      <c r="J117" s="171">
        <f t="shared" si="30"/>
        <v>0</v>
      </c>
      <c r="K117" s="171">
        <f t="shared" si="30"/>
        <v>0</v>
      </c>
      <c r="L117" s="171">
        <f t="shared" si="30"/>
        <v>0</v>
      </c>
      <c r="M117" s="171">
        <f t="shared" si="30"/>
        <v>0</v>
      </c>
      <c r="N117" s="171">
        <f t="shared" si="30"/>
        <v>0</v>
      </c>
      <c r="O117" s="171">
        <f t="shared" si="30"/>
        <v>0</v>
      </c>
      <c r="P117" s="171">
        <f t="shared" si="30"/>
        <v>0</v>
      </c>
      <c r="Q117" s="171">
        <f t="shared" si="30"/>
        <v>0</v>
      </c>
      <c r="R117" s="206"/>
      <c r="S117" s="206"/>
      <c r="T117" s="68" t="e">
        <f>SUM(#REF!)</f>
        <v>#REF!</v>
      </c>
      <c r="U117" s="171">
        <f aca="true" t="shared" si="31" ref="U117:Z119">+U28-U79</f>
        <v>0</v>
      </c>
      <c r="V117" s="171">
        <f t="shared" si="31"/>
        <v>0</v>
      </c>
      <c r="W117" s="171">
        <f t="shared" si="31"/>
        <v>0</v>
      </c>
      <c r="X117" s="171">
        <f t="shared" si="31"/>
        <v>0</v>
      </c>
      <c r="Y117" s="171">
        <f t="shared" si="31"/>
        <v>0</v>
      </c>
      <c r="Z117" s="188" t="e">
        <f>SUM(C117:Y117)-T117</f>
        <v>#REF!</v>
      </c>
      <c r="AA117" s="191"/>
      <c r="AB117" s="191"/>
      <c r="AC117" s="191"/>
      <c r="AD117" s="189"/>
      <c r="AE117" s="189"/>
      <c r="AF117" s="189"/>
      <c r="AG117" s="189"/>
      <c r="AH117" s="189"/>
      <c r="AI117" s="189"/>
      <c r="AJ117" s="189"/>
      <c r="AK117" s="189"/>
      <c r="AL117" s="189"/>
      <c r="AM117" s="189"/>
      <c r="AN117" s="189"/>
      <c r="AO117" s="189"/>
      <c r="AP117" s="189"/>
      <c r="AQ117" s="189"/>
      <c r="BB117" s="189"/>
      <c r="BC117" s="189"/>
      <c r="BD117" s="189"/>
      <c r="BE117" s="189"/>
    </row>
    <row r="118" spans="1:57" ht="28.5" customHeight="1" hidden="1">
      <c r="A118" s="419"/>
      <c r="B118" s="417" t="s">
        <v>202</v>
      </c>
      <c r="C118" s="171">
        <f>+C29-C80</f>
        <v>0</v>
      </c>
      <c r="D118" s="171">
        <f t="shared" si="30"/>
        <v>0</v>
      </c>
      <c r="E118" s="171">
        <f t="shared" si="30"/>
        <v>0</v>
      </c>
      <c r="F118" s="171">
        <f t="shared" si="30"/>
        <v>0</v>
      </c>
      <c r="G118" s="171"/>
      <c r="H118" s="171">
        <f t="shared" si="30"/>
        <v>0</v>
      </c>
      <c r="I118" s="171">
        <f t="shared" si="30"/>
        <v>0</v>
      </c>
      <c r="J118" s="171">
        <f t="shared" si="30"/>
        <v>0</v>
      </c>
      <c r="K118" s="171">
        <f t="shared" si="30"/>
        <v>0</v>
      </c>
      <c r="L118" s="171">
        <f t="shared" si="30"/>
        <v>0</v>
      </c>
      <c r="M118" s="171">
        <f t="shared" si="30"/>
        <v>0</v>
      </c>
      <c r="N118" s="171">
        <f t="shared" si="30"/>
        <v>0</v>
      </c>
      <c r="O118" s="171">
        <f t="shared" si="30"/>
        <v>0</v>
      </c>
      <c r="P118" s="171">
        <f t="shared" si="30"/>
        <v>0</v>
      </c>
      <c r="Q118" s="171">
        <f t="shared" si="30"/>
        <v>0</v>
      </c>
      <c r="R118" s="206"/>
      <c r="S118" s="206"/>
      <c r="T118" s="68">
        <f>SUM(K118:Q118)</f>
        <v>0</v>
      </c>
      <c r="U118" s="171">
        <f t="shared" si="31"/>
        <v>0</v>
      </c>
      <c r="V118" s="171">
        <f t="shared" si="31"/>
        <v>0</v>
      </c>
      <c r="W118" s="171">
        <f t="shared" si="31"/>
        <v>0</v>
      </c>
      <c r="X118" s="171">
        <f t="shared" si="31"/>
        <v>0</v>
      </c>
      <c r="Y118" s="171">
        <f t="shared" si="31"/>
        <v>115.55</v>
      </c>
      <c r="Z118" s="188">
        <f>SUM(C118:Y118)-T118</f>
        <v>115.55</v>
      </c>
      <c r="AA118" s="191"/>
      <c r="AB118" s="191"/>
      <c r="AC118" s="191"/>
      <c r="AD118" s="189"/>
      <c r="AE118" s="189"/>
      <c r="AF118" s="189"/>
      <c r="AG118" s="189"/>
      <c r="AH118" s="189"/>
      <c r="AI118" s="189"/>
      <c r="AJ118" s="189"/>
      <c r="AK118" s="189"/>
      <c r="AL118" s="189"/>
      <c r="AM118" s="189"/>
      <c r="AN118" s="189"/>
      <c r="AO118" s="189"/>
      <c r="AP118" s="189"/>
      <c r="AQ118" s="189"/>
      <c r="BB118" s="189"/>
      <c r="BC118" s="189"/>
      <c r="BD118" s="189"/>
      <c r="BE118" s="189"/>
    </row>
    <row r="119" spans="1:57" ht="28.5" customHeight="1" hidden="1">
      <c r="A119" s="419"/>
      <c r="B119" s="420" t="s">
        <v>237</v>
      </c>
      <c r="C119" s="171">
        <f>+C30-C81</f>
        <v>0</v>
      </c>
      <c r="D119" s="171">
        <f t="shared" si="30"/>
        <v>0</v>
      </c>
      <c r="E119" s="171">
        <f t="shared" si="30"/>
        <v>0</v>
      </c>
      <c r="F119" s="171">
        <f t="shared" si="30"/>
        <v>0</v>
      </c>
      <c r="G119" s="171"/>
      <c r="H119" s="171">
        <f t="shared" si="30"/>
        <v>0</v>
      </c>
      <c r="I119" s="171">
        <f t="shared" si="30"/>
        <v>0</v>
      </c>
      <c r="J119" s="171">
        <f t="shared" si="30"/>
        <v>0</v>
      </c>
      <c r="K119" s="171">
        <f t="shared" si="30"/>
        <v>0</v>
      </c>
      <c r="L119" s="171">
        <f t="shared" si="30"/>
        <v>0</v>
      </c>
      <c r="M119" s="171">
        <f t="shared" si="30"/>
        <v>0</v>
      </c>
      <c r="N119" s="171">
        <f t="shared" si="30"/>
        <v>0</v>
      </c>
      <c r="O119" s="171">
        <f t="shared" si="30"/>
        <v>0</v>
      </c>
      <c r="P119" s="171">
        <f t="shared" si="30"/>
        <v>0</v>
      </c>
      <c r="Q119" s="171">
        <f t="shared" si="30"/>
        <v>0</v>
      </c>
      <c r="R119" s="171"/>
      <c r="S119" s="171"/>
      <c r="T119" s="171">
        <f t="shared" si="30"/>
        <v>0</v>
      </c>
      <c r="U119" s="171">
        <f t="shared" si="31"/>
        <v>0</v>
      </c>
      <c r="V119" s="171">
        <f t="shared" si="31"/>
        <v>0</v>
      </c>
      <c r="W119" s="171">
        <f t="shared" si="31"/>
        <v>0</v>
      </c>
      <c r="X119" s="171">
        <f t="shared" si="31"/>
        <v>0</v>
      </c>
      <c r="Y119" s="171">
        <f t="shared" si="31"/>
        <v>0</v>
      </c>
      <c r="Z119" s="344">
        <f t="shared" si="31"/>
        <v>0</v>
      </c>
      <c r="AA119" s="204"/>
      <c r="AB119" s="204"/>
      <c r="AC119" s="204"/>
      <c r="AD119" s="189"/>
      <c r="AE119" s="189"/>
      <c r="AF119" s="189"/>
      <c r="AG119" s="189"/>
      <c r="AH119" s="189"/>
      <c r="AI119" s="189"/>
      <c r="AJ119" s="189"/>
      <c r="AK119" s="189"/>
      <c r="AL119" s="189"/>
      <c r="AM119" s="189"/>
      <c r="AN119" s="189"/>
      <c r="AO119" s="189"/>
      <c r="AP119" s="189"/>
      <c r="AQ119" s="189"/>
      <c r="BB119" s="189"/>
      <c r="BC119" s="189"/>
      <c r="BD119" s="189"/>
      <c r="BE119" s="189"/>
    </row>
    <row r="120" spans="1:57" ht="18" customHeight="1" hidden="1">
      <c r="A120" s="421">
        <v>12</v>
      </c>
      <c r="B120" s="218" t="s">
        <v>148</v>
      </c>
      <c r="C120" s="211">
        <f>+C115+C118+C119</f>
        <v>705.0567526238203</v>
      </c>
      <c r="D120" s="211">
        <f aca="true" t="shared" si="32" ref="D120:Z120">+D115+D118+D119</f>
        <v>39.47468986346837</v>
      </c>
      <c r="E120" s="211">
        <f t="shared" si="32"/>
        <v>19.022792346151224</v>
      </c>
      <c r="F120" s="211">
        <f t="shared" si="32"/>
        <v>17.307786541302733</v>
      </c>
      <c r="G120" s="211"/>
      <c r="H120" s="211">
        <f t="shared" si="32"/>
        <v>21.027737904305145</v>
      </c>
      <c r="I120" s="211">
        <f t="shared" si="32"/>
        <v>35.21681169255854</v>
      </c>
      <c r="J120" s="211">
        <f t="shared" si="32"/>
        <v>48.19510035892024</v>
      </c>
      <c r="K120" s="211">
        <f t="shared" si="32"/>
        <v>0</v>
      </c>
      <c r="L120" s="211">
        <f t="shared" si="32"/>
        <v>-0.25</v>
      </c>
      <c r="M120" s="211">
        <f t="shared" si="32"/>
        <v>0</v>
      </c>
      <c r="N120" s="211">
        <f t="shared" si="32"/>
        <v>0.010000000000000009</v>
      </c>
      <c r="O120" s="211">
        <f t="shared" si="32"/>
        <v>-1.029999999999994</v>
      </c>
      <c r="P120" s="211">
        <f t="shared" si="32"/>
        <v>2.7799999999999994</v>
      </c>
      <c r="Q120" s="211">
        <f t="shared" si="32"/>
        <v>24.559999999999995</v>
      </c>
      <c r="R120" s="211"/>
      <c r="S120" s="211"/>
      <c r="T120" s="211">
        <f t="shared" si="32"/>
        <v>26.58384214461325</v>
      </c>
      <c r="U120" s="211">
        <f t="shared" si="32"/>
        <v>48.31</v>
      </c>
      <c r="V120" s="211">
        <f t="shared" si="32"/>
        <v>20.890000000000015</v>
      </c>
      <c r="W120" s="211">
        <f t="shared" si="32"/>
        <v>0.0006119999999896208</v>
      </c>
      <c r="X120" s="211">
        <f t="shared" si="32"/>
        <v>0.003379999999424399</v>
      </c>
      <c r="Y120" s="211">
        <f t="shared" si="32"/>
        <v>-790.4054354751399</v>
      </c>
      <c r="Z120" s="343">
        <f t="shared" si="32"/>
        <v>190.20706700909744</v>
      </c>
      <c r="AA120" s="352"/>
      <c r="AB120" s="352"/>
      <c r="AC120" s="352"/>
      <c r="AD120" s="189"/>
      <c r="AE120" s="189"/>
      <c r="AF120" s="189"/>
      <c r="AG120" s="189"/>
      <c r="AH120" s="189"/>
      <c r="AI120" s="189"/>
      <c r="AJ120" s="189"/>
      <c r="AK120" s="189"/>
      <c r="AL120" s="189"/>
      <c r="AM120" s="189"/>
      <c r="AN120" s="189"/>
      <c r="AO120" s="189"/>
      <c r="AP120" s="189"/>
      <c r="AQ120" s="189"/>
      <c r="BB120" s="189"/>
      <c r="BC120" s="189"/>
      <c r="BD120" s="189"/>
      <c r="BE120" s="189"/>
    </row>
    <row r="121" spans="1:57" ht="18" customHeight="1" hidden="1">
      <c r="A121" s="421"/>
      <c r="B121" s="218"/>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343"/>
      <c r="AA121" s="401"/>
      <c r="AB121" s="401"/>
      <c r="AC121" s="401"/>
      <c r="AD121" s="189"/>
      <c r="AE121" s="189"/>
      <c r="AF121" s="189"/>
      <c r="AG121" s="189"/>
      <c r="AH121" s="189"/>
      <c r="AI121" s="189"/>
      <c r="AJ121" s="189"/>
      <c r="AK121" s="189"/>
      <c r="AL121" s="189"/>
      <c r="AM121" s="189"/>
      <c r="AN121" s="189"/>
      <c r="AO121" s="189"/>
      <c r="AP121" s="189"/>
      <c r="AQ121" s="189"/>
      <c r="BB121" s="189"/>
      <c r="BC121" s="189"/>
      <c r="BD121" s="189"/>
      <c r="BE121" s="189"/>
    </row>
    <row r="122" spans="1:57" ht="18" customHeight="1" hidden="1">
      <c r="A122" s="422" t="s">
        <v>12</v>
      </c>
      <c r="B122" s="170" t="s">
        <v>5</v>
      </c>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344"/>
      <c r="AA122" s="204"/>
      <c r="AB122" s="204"/>
      <c r="AC122" s="204"/>
      <c r="AD122" s="189"/>
      <c r="AE122" s="189"/>
      <c r="AF122" s="189"/>
      <c r="AG122" s="189"/>
      <c r="AH122" s="189"/>
      <c r="AI122" s="189"/>
      <c r="AJ122" s="189"/>
      <c r="AK122" s="189"/>
      <c r="AL122" s="189"/>
      <c r="AM122" s="189"/>
      <c r="AN122" s="189"/>
      <c r="AO122" s="189"/>
      <c r="AP122" s="189"/>
      <c r="AQ122" s="189"/>
      <c r="BB122" s="189"/>
      <c r="BC122" s="189"/>
      <c r="BD122" s="189"/>
      <c r="BE122" s="189"/>
    </row>
    <row r="123" spans="1:57" ht="18" customHeight="1" hidden="1">
      <c r="A123" s="421"/>
      <c r="B123" s="170" t="s">
        <v>140</v>
      </c>
      <c r="C123" s="171">
        <f aca="true" t="shared" si="33" ref="C123:I124">+C34-C85</f>
        <v>0</v>
      </c>
      <c r="D123" s="171">
        <f t="shared" si="33"/>
        <v>0</v>
      </c>
      <c r="E123" s="171">
        <f t="shared" si="33"/>
        <v>0</v>
      </c>
      <c r="F123" s="171">
        <f t="shared" si="33"/>
        <v>0</v>
      </c>
      <c r="G123" s="171"/>
      <c r="H123" s="171">
        <f t="shared" si="33"/>
        <v>0</v>
      </c>
      <c r="I123" s="171">
        <f t="shared" si="33"/>
        <v>0</v>
      </c>
      <c r="J123" s="171"/>
      <c r="K123" s="206"/>
      <c r="L123" s="206"/>
      <c r="M123" s="206"/>
      <c r="N123" s="206"/>
      <c r="O123" s="206"/>
      <c r="P123" s="206"/>
      <c r="Q123" s="206"/>
      <c r="R123" s="206"/>
      <c r="S123" s="206"/>
      <c r="T123" s="68" t="e">
        <f>SUM(#REF!)</f>
        <v>#REF!</v>
      </c>
      <c r="U123" s="171">
        <f aca="true" t="shared" si="34" ref="U123:Z124">+U34-U85</f>
        <v>0</v>
      </c>
      <c r="V123" s="171">
        <f t="shared" si="34"/>
        <v>0</v>
      </c>
      <c r="W123" s="171">
        <f t="shared" si="34"/>
        <v>0</v>
      </c>
      <c r="X123" s="171">
        <f t="shared" si="34"/>
        <v>0</v>
      </c>
      <c r="Y123" s="171">
        <f t="shared" si="34"/>
        <v>0</v>
      </c>
      <c r="Z123" s="344" t="e">
        <f t="shared" si="34"/>
        <v>#REF!</v>
      </c>
      <c r="AA123" s="206"/>
      <c r="AB123" s="206"/>
      <c r="AC123" s="206"/>
      <c r="AD123" s="189"/>
      <c r="AE123" s="189"/>
      <c r="AF123" s="189"/>
      <c r="AG123" s="189"/>
      <c r="AH123" s="189"/>
      <c r="AI123" s="189"/>
      <c r="AJ123" s="189"/>
      <c r="AK123" s="189"/>
      <c r="AL123" s="189"/>
      <c r="AM123" s="189"/>
      <c r="AN123" s="189"/>
      <c r="AO123" s="189"/>
      <c r="AP123" s="189"/>
      <c r="AQ123" s="189"/>
      <c r="BB123" s="189"/>
      <c r="BC123" s="189"/>
      <c r="BD123" s="189"/>
      <c r="BE123" s="189"/>
    </row>
    <row r="124" spans="1:57" ht="18" customHeight="1" hidden="1">
      <c r="A124" s="421"/>
      <c r="B124" s="170" t="s">
        <v>6</v>
      </c>
      <c r="C124" s="171">
        <f t="shared" si="33"/>
        <v>0</v>
      </c>
      <c r="D124" s="171">
        <f t="shared" si="33"/>
        <v>0</v>
      </c>
      <c r="E124" s="171">
        <f t="shared" si="33"/>
        <v>0</v>
      </c>
      <c r="F124" s="171">
        <f t="shared" si="33"/>
        <v>0</v>
      </c>
      <c r="G124" s="171"/>
      <c r="H124" s="171">
        <f t="shared" si="33"/>
        <v>0</v>
      </c>
      <c r="I124" s="171">
        <f t="shared" si="33"/>
        <v>0</v>
      </c>
      <c r="J124" s="171"/>
      <c r="K124" s="206"/>
      <c r="L124" s="206"/>
      <c r="M124" s="206"/>
      <c r="N124" s="206"/>
      <c r="O124" s="206"/>
      <c r="P124" s="206"/>
      <c r="Q124" s="206"/>
      <c r="R124" s="206"/>
      <c r="S124" s="206"/>
      <c r="T124" s="68" t="e">
        <f>SUM(#REF!)</f>
        <v>#REF!</v>
      </c>
      <c r="U124" s="171">
        <f t="shared" si="34"/>
        <v>0</v>
      </c>
      <c r="V124" s="171">
        <f t="shared" si="34"/>
        <v>0</v>
      </c>
      <c r="W124" s="171">
        <f t="shared" si="34"/>
        <v>0</v>
      </c>
      <c r="X124" s="171">
        <f t="shared" si="34"/>
        <v>0</v>
      </c>
      <c r="Y124" s="171">
        <f t="shared" si="34"/>
        <v>0</v>
      </c>
      <c r="Z124" s="344" t="e">
        <f t="shared" si="34"/>
        <v>#REF!</v>
      </c>
      <c r="AA124" s="206"/>
      <c r="AB124" s="206"/>
      <c r="AC124" s="206"/>
      <c r="AD124" s="189"/>
      <c r="AE124" s="189"/>
      <c r="AF124" s="189"/>
      <c r="AG124" s="189"/>
      <c r="AH124" s="189"/>
      <c r="AI124" s="189"/>
      <c r="AJ124" s="189"/>
      <c r="AK124" s="189"/>
      <c r="AL124" s="189"/>
      <c r="AM124" s="189"/>
      <c r="AN124" s="189"/>
      <c r="AO124" s="189"/>
      <c r="AP124" s="189"/>
      <c r="AQ124" s="189"/>
      <c r="BB124" s="189"/>
      <c r="BC124" s="189"/>
      <c r="BD124" s="189"/>
      <c r="BE124" s="189"/>
    </row>
    <row r="125" spans="1:57" ht="18" customHeight="1" hidden="1">
      <c r="A125" s="421"/>
      <c r="B125" s="170" t="s">
        <v>7</v>
      </c>
      <c r="C125" s="171">
        <f aca="true" t="shared" si="35" ref="C125:I125">+C123-C124</f>
        <v>0</v>
      </c>
      <c r="D125" s="171">
        <f t="shared" si="35"/>
        <v>0</v>
      </c>
      <c r="E125" s="171">
        <f t="shared" si="35"/>
        <v>0</v>
      </c>
      <c r="F125" s="171">
        <f t="shared" si="35"/>
        <v>0</v>
      </c>
      <c r="G125" s="171"/>
      <c r="H125" s="171">
        <f t="shared" si="35"/>
        <v>0</v>
      </c>
      <c r="I125" s="171">
        <f t="shared" si="35"/>
        <v>0</v>
      </c>
      <c r="J125" s="171"/>
      <c r="K125" s="206"/>
      <c r="L125" s="206"/>
      <c r="M125" s="206"/>
      <c r="N125" s="206"/>
      <c r="O125" s="206"/>
      <c r="P125" s="206"/>
      <c r="Q125" s="206"/>
      <c r="R125" s="206"/>
      <c r="S125" s="206"/>
      <c r="T125" s="68" t="e">
        <f>SUM(#REF!)</f>
        <v>#REF!</v>
      </c>
      <c r="U125" s="171">
        <f aca="true" t="shared" si="36" ref="U125:Z125">+U123-U124</f>
        <v>0</v>
      </c>
      <c r="V125" s="171">
        <f t="shared" si="36"/>
        <v>0</v>
      </c>
      <c r="W125" s="171">
        <f t="shared" si="36"/>
        <v>0</v>
      </c>
      <c r="X125" s="171">
        <f t="shared" si="36"/>
        <v>0</v>
      </c>
      <c r="Y125" s="171">
        <f t="shared" si="36"/>
        <v>0</v>
      </c>
      <c r="Z125" s="344" t="e">
        <f t="shared" si="36"/>
        <v>#REF!</v>
      </c>
      <c r="AA125" s="206"/>
      <c r="AB125" s="206"/>
      <c r="AC125" s="206"/>
      <c r="AD125" s="189"/>
      <c r="AE125" s="189"/>
      <c r="AF125" s="189"/>
      <c r="AG125" s="189"/>
      <c r="AH125" s="189"/>
      <c r="AI125" s="189"/>
      <c r="AJ125" s="189"/>
      <c r="AK125" s="189"/>
      <c r="AL125" s="189"/>
      <c r="AM125" s="189"/>
      <c r="AN125" s="189"/>
      <c r="AO125" s="189"/>
      <c r="AP125" s="189"/>
      <c r="AQ125" s="189"/>
      <c r="BB125" s="189"/>
      <c r="BC125" s="189"/>
      <c r="BD125" s="189"/>
      <c r="BE125" s="189"/>
    </row>
    <row r="126" spans="1:57" ht="11.25" hidden="1">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89"/>
      <c r="AD126" s="189"/>
      <c r="AE126" s="189"/>
      <c r="AF126" s="189"/>
      <c r="AG126" s="189"/>
      <c r="AH126" s="189"/>
      <c r="AI126" s="189"/>
      <c r="AJ126" s="189"/>
      <c r="AK126" s="189"/>
      <c r="AL126" s="189"/>
      <c r="AM126" s="189"/>
      <c r="AN126" s="189"/>
      <c r="AO126" s="189"/>
      <c r="AP126" s="189"/>
      <c r="AQ126" s="189"/>
      <c r="BB126" s="189"/>
      <c r="BC126" s="189"/>
      <c r="BD126" s="189"/>
      <c r="BE126" s="189"/>
    </row>
    <row r="127" spans="1:57" ht="11.25" hidden="1">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210"/>
      <c r="AA127" s="284"/>
      <c r="AB127" s="144"/>
      <c r="AC127" s="144"/>
      <c r="AD127" s="189"/>
      <c r="AE127" s="189"/>
      <c r="AF127" s="189"/>
      <c r="AG127" s="189"/>
      <c r="AH127" s="189"/>
      <c r="AI127" s="189"/>
      <c r="AJ127" s="189"/>
      <c r="AK127" s="189"/>
      <c r="AL127" s="189"/>
      <c r="AM127" s="189"/>
      <c r="AN127" s="189"/>
      <c r="AO127" s="189"/>
      <c r="AP127" s="189"/>
      <c r="AQ127" s="189"/>
      <c r="BB127" s="189"/>
      <c r="BC127" s="189"/>
      <c r="BD127" s="189"/>
      <c r="BE127" s="189"/>
    </row>
    <row r="128" spans="1:57" ht="11.25" hidden="1">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t="s">
        <v>290</v>
      </c>
      <c r="Z128" s="210">
        <f>'[4]DEC -14 final result'!E35</f>
        <v>436.06999999999914</v>
      </c>
      <c r="AA128" s="284"/>
      <c r="AB128" s="144"/>
      <c r="AC128" s="144"/>
      <c r="BB128" s="189"/>
      <c r="BC128" s="189"/>
      <c r="BD128" s="189"/>
      <c r="BE128" s="189"/>
    </row>
    <row r="129" spans="1:57" ht="11.25" hidden="1">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210">
        <f>+Z26-Z128</f>
        <v>-6180.5569329908985</v>
      </c>
      <c r="AA129" s="284"/>
      <c r="AB129" s="144"/>
      <c r="AC129" s="144"/>
      <c r="BB129" s="189"/>
      <c r="BC129" s="189"/>
      <c r="BD129" s="189"/>
      <c r="BE129" s="189"/>
    </row>
    <row r="130" spans="1:57" ht="11.25" hidden="1">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210"/>
      <c r="AA130" s="284"/>
      <c r="AB130" s="144"/>
      <c r="AC130" s="144"/>
      <c r="BB130" s="189"/>
      <c r="BC130" s="189"/>
      <c r="BD130" s="189"/>
      <c r="BE130" s="189"/>
    </row>
    <row r="131" spans="1:57" ht="11.25" hidden="1">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89"/>
      <c r="BB131" s="189"/>
      <c r="BC131" s="189"/>
      <c r="BD131" s="189"/>
      <c r="BE131" s="189"/>
    </row>
    <row r="132" spans="1:57" ht="11.2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89"/>
      <c r="BB132" s="189"/>
      <c r="BC132" s="189"/>
      <c r="BD132" s="189"/>
      <c r="BE132" s="189"/>
    </row>
    <row r="133" spans="1:57" ht="11.2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210">
        <f>'MARCH -15 final result'!E35</f>
        <v>-121.80999999999904</v>
      </c>
      <c r="AA133" s="144"/>
      <c r="AB133" s="144"/>
      <c r="AC133" s="144"/>
      <c r="BB133" s="189"/>
      <c r="BC133" s="189"/>
      <c r="BD133" s="189"/>
      <c r="BE133" s="189"/>
    </row>
    <row r="134" spans="1:57" ht="11.2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210">
        <f>+Z115-Z133</f>
        <v>196.46706700909647</v>
      </c>
      <c r="BB134" s="189"/>
      <c r="BC134" s="189"/>
      <c r="BD134" s="189"/>
      <c r="BE134" s="189"/>
    </row>
    <row r="135" spans="1:29" ht="11.2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210"/>
      <c r="AA135" s="144"/>
      <c r="AB135" s="144"/>
      <c r="AC135" s="144"/>
    </row>
    <row r="136" spans="1:26" ht="11.2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row>
    <row r="137" spans="1:26" ht="11.2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row>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spans="1:26" ht="12.75">
      <c r="A228" s="532" t="s">
        <v>11</v>
      </c>
      <c r="B228" s="532"/>
      <c r="C228" s="532"/>
      <c r="D228" s="532"/>
      <c r="E228" s="532"/>
      <c r="F228" s="532"/>
      <c r="G228" s="532"/>
      <c r="H228" s="532"/>
      <c r="I228" s="532"/>
      <c r="J228" s="532"/>
      <c r="K228" s="532"/>
      <c r="L228" s="532"/>
      <c r="M228" s="532"/>
      <c r="N228" s="532"/>
      <c r="O228" s="532"/>
      <c r="P228" s="532"/>
      <c r="Q228" s="532"/>
      <c r="R228" s="532"/>
      <c r="S228" s="532"/>
      <c r="T228" s="532"/>
      <c r="U228" s="532"/>
      <c r="V228" s="532"/>
      <c r="W228" s="532"/>
      <c r="X228" s="532"/>
      <c r="Y228" s="532"/>
      <c r="Z228" s="532"/>
    </row>
    <row r="229" spans="1:26" ht="12.75">
      <c r="A229" s="215" t="s">
        <v>12</v>
      </c>
      <c r="B229" s="215"/>
      <c r="C229" s="215" t="s">
        <v>12</v>
      </c>
      <c r="D229" s="215" t="s">
        <v>12</v>
      </c>
      <c r="E229" s="215" t="s">
        <v>110</v>
      </c>
      <c r="F229" s="215" t="s">
        <v>12</v>
      </c>
      <c r="G229" s="215"/>
      <c r="H229" s="215"/>
      <c r="I229" s="215"/>
      <c r="J229" s="215"/>
      <c r="K229" s="215"/>
      <c r="L229" s="215"/>
      <c r="M229" s="215"/>
      <c r="N229" s="215"/>
      <c r="O229" s="215"/>
      <c r="P229" s="215"/>
      <c r="Q229" s="215"/>
      <c r="R229" s="215"/>
      <c r="S229" s="215"/>
      <c r="T229" s="215"/>
      <c r="U229" s="215"/>
      <c r="V229" s="215"/>
      <c r="W229" s="215"/>
      <c r="X229" s="215"/>
      <c r="Y229" s="215" t="s">
        <v>12</v>
      </c>
      <c r="Z229" s="215"/>
    </row>
    <row r="230" spans="1:26" ht="12.75">
      <c r="A230" s="413" t="s">
        <v>311</v>
      </c>
      <c r="B230" s="215"/>
      <c r="C230" s="215"/>
      <c r="D230" s="215"/>
      <c r="E230" s="215"/>
      <c r="F230" s="243"/>
      <c r="G230" s="243"/>
      <c r="H230" s="215"/>
      <c r="I230" s="215"/>
      <c r="J230" s="215"/>
      <c r="K230" s="215"/>
      <c r="L230" s="215"/>
      <c r="M230" s="215"/>
      <c r="N230" s="215"/>
      <c r="O230" s="215"/>
      <c r="P230" s="215"/>
      <c r="Q230" s="215"/>
      <c r="R230" s="215"/>
      <c r="S230" s="215"/>
      <c r="T230" s="215"/>
      <c r="U230" s="215"/>
      <c r="V230" s="215"/>
      <c r="W230" s="215" t="s">
        <v>310</v>
      </c>
      <c r="X230" s="215"/>
      <c r="Y230" s="215" t="s">
        <v>94</v>
      </c>
      <c r="Z230" s="215" t="s">
        <v>12</v>
      </c>
    </row>
    <row r="231" spans="1:26" ht="12.75">
      <c r="A231" s="215"/>
      <c r="B231" s="215" t="s">
        <v>12</v>
      </c>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t="s">
        <v>94</v>
      </c>
      <c r="Z231" s="215"/>
    </row>
    <row r="232" spans="1:26" ht="12.75">
      <c r="A232" s="533" t="s">
        <v>19</v>
      </c>
      <c r="B232" s="534" t="s">
        <v>15</v>
      </c>
      <c r="C232" s="244" t="s">
        <v>12</v>
      </c>
      <c r="D232" s="245"/>
      <c r="E232" s="245"/>
      <c r="F232" s="246" t="s">
        <v>29</v>
      </c>
      <c r="G232" s="246"/>
      <c r="H232" s="247"/>
      <c r="I232" s="247"/>
      <c r="J232" s="247"/>
      <c r="K232" s="247"/>
      <c r="L232" s="247"/>
      <c r="M232" s="247"/>
      <c r="N232" s="247"/>
      <c r="O232" s="247"/>
      <c r="P232" s="247"/>
      <c r="Q232" s="247"/>
      <c r="R232" s="247"/>
      <c r="S232" s="247"/>
      <c r="T232" s="247"/>
      <c r="U232" s="247"/>
      <c r="V232" s="247"/>
      <c r="W232" s="247"/>
      <c r="X232" s="247"/>
      <c r="Y232" s="354" t="s">
        <v>12</v>
      </c>
      <c r="Z232" s="356"/>
    </row>
    <row r="233" spans="1:26" ht="76.5">
      <c r="A233" s="533"/>
      <c r="B233" s="534"/>
      <c r="C233" s="248" t="s">
        <v>243</v>
      </c>
      <c r="D233" s="237" t="s">
        <v>156</v>
      </c>
      <c r="E233" s="237" t="s">
        <v>298</v>
      </c>
      <c r="F233" s="237" t="s">
        <v>153</v>
      </c>
      <c r="G233" s="237"/>
      <c r="H233" s="237" t="s">
        <v>154</v>
      </c>
      <c r="I233" s="237" t="s">
        <v>157</v>
      </c>
      <c r="J233" s="237" t="s">
        <v>211</v>
      </c>
      <c r="K233" s="237" t="s">
        <v>240</v>
      </c>
      <c r="L233" s="237" t="s">
        <v>241</v>
      </c>
      <c r="M233" s="237" t="s">
        <v>212</v>
      </c>
      <c r="N233" s="237" t="s">
        <v>213</v>
      </c>
      <c r="O233" s="237" t="s">
        <v>214</v>
      </c>
      <c r="P233" s="237" t="s">
        <v>215</v>
      </c>
      <c r="Q233" s="237" t="s">
        <v>216</v>
      </c>
      <c r="R233" s="237" t="s">
        <v>242</v>
      </c>
      <c r="S233" s="237" t="s">
        <v>245</v>
      </c>
      <c r="T233" s="237" t="s">
        <v>4</v>
      </c>
      <c r="U233" s="237" t="s">
        <v>155</v>
      </c>
      <c r="V233" s="237" t="s">
        <v>108</v>
      </c>
      <c r="W233" s="237" t="s">
        <v>246</v>
      </c>
      <c r="X233" s="237" t="s">
        <v>247</v>
      </c>
      <c r="Y233" s="355" t="s">
        <v>40</v>
      </c>
      <c r="Z233" s="357" t="s">
        <v>41</v>
      </c>
    </row>
    <row r="234" spans="1:26" ht="12.75">
      <c r="A234" s="247">
        <v>1</v>
      </c>
      <c r="B234" s="249" t="s">
        <v>13</v>
      </c>
      <c r="C234" s="239">
        <v>4986.99</v>
      </c>
      <c r="D234" s="239">
        <v>733.71</v>
      </c>
      <c r="E234" s="239">
        <v>212.44</v>
      </c>
      <c r="F234" s="239">
        <v>1629.42</v>
      </c>
      <c r="G234" s="239"/>
      <c r="H234" s="239">
        <v>341.08</v>
      </c>
      <c r="I234" s="239">
        <v>178.42</v>
      </c>
      <c r="J234" s="239">
        <v>130.83</v>
      </c>
      <c r="K234" s="239"/>
      <c r="L234" s="239"/>
      <c r="M234" s="239"/>
      <c r="N234" s="239"/>
      <c r="O234" s="239">
        <v>92.68</v>
      </c>
      <c r="P234" s="239">
        <v>62.7</v>
      </c>
      <c r="Q234" s="239">
        <v>180.9</v>
      </c>
      <c r="R234" s="238"/>
      <c r="S234" s="238"/>
      <c r="T234" s="238">
        <f>SUM(K234:S234)</f>
        <v>336.28</v>
      </c>
      <c r="U234" s="239">
        <v>244.41</v>
      </c>
      <c r="V234" s="239">
        <v>148.09</v>
      </c>
      <c r="W234" s="238"/>
      <c r="X234" s="238"/>
      <c r="Y234" s="336">
        <v>28.68</v>
      </c>
      <c r="Z234" s="358">
        <f>SUM(C234:Y234)-T234</f>
        <v>8970.35</v>
      </c>
    </row>
    <row r="235" spans="1:26" ht="12.75">
      <c r="A235" s="247">
        <v>2</v>
      </c>
      <c r="B235" s="249" t="s">
        <v>71</v>
      </c>
      <c r="C235" s="239">
        <v>241.82</v>
      </c>
      <c r="D235" s="239">
        <v>104.69</v>
      </c>
      <c r="E235" s="239">
        <v>1.16</v>
      </c>
      <c r="F235" s="239">
        <v>124.84</v>
      </c>
      <c r="G235" s="239"/>
      <c r="H235" s="239">
        <v>2.75</v>
      </c>
      <c r="I235" s="239">
        <v>1.4</v>
      </c>
      <c r="J235" s="239">
        <v>4.32</v>
      </c>
      <c r="K235" s="238"/>
      <c r="L235" s="239"/>
      <c r="M235" s="238"/>
      <c r="N235" s="239"/>
      <c r="O235" s="239">
        <v>0.57</v>
      </c>
      <c r="P235" s="239">
        <v>0.04</v>
      </c>
      <c r="Q235" s="239">
        <v>4.35</v>
      </c>
      <c r="R235" s="238"/>
      <c r="S235" s="238"/>
      <c r="T235" s="238">
        <f>SUM(K235:S235)</f>
        <v>4.96</v>
      </c>
      <c r="U235" s="238"/>
      <c r="V235" s="238"/>
      <c r="W235" s="238"/>
      <c r="X235" s="238"/>
      <c r="Y235" s="336">
        <f>65.25+0.03</f>
        <v>65.28</v>
      </c>
      <c r="Z235" s="358">
        <f>SUM(C235:Y235)-T235</f>
        <v>551.2199999999999</v>
      </c>
    </row>
    <row r="236" spans="1:26" ht="12.75">
      <c r="A236" s="247">
        <v>3</v>
      </c>
      <c r="B236" s="249" t="s">
        <v>14</v>
      </c>
      <c r="C236" s="239">
        <v>8.23</v>
      </c>
      <c r="D236" s="239">
        <v>7E-05</v>
      </c>
      <c r="E236" s="239">
        <v>0.31</v>
      </c>
      <c r="F236" s="239">
        <v>2.22</v>
      </c>
      <c r="G236" s="239"/>
      <c r="H236" s="239">
        <v>-0.9</v>
      </c>
      <c r="I236" s="239">
        <v>0.24</v>
      </c>
      <c r="J236" s="239"/>
      <c r="K236" s="239"/>
      <c r="L236" s="239">
        <v>0.01</v>
      </c>
      <c r="M236" s="239"/>
      <c r="N236" s="239">
        <v>0.17</v>
      </c>
      <c r="O236" s="239">
        <v>0.14</v>
      </c>
      <c r="P236" s="239">
        <v>0.04</v>
      </c>
      <c r="Q236" s="239">
        <v>0.09</v>
      </c>
      <c r="R236" s="238"/>
      <c r="S236" s="238"/>
      <c r="T236" s="238">
        <f>SUM(K236:S236)</f>
        <v>0.45000000000000007</v>
      </c>
      <c r="U236" s="239">
        <v>6.4</v>
      </c>
      <c r="V236" s="238">
        <v>3.25</v>
      </c>
      <c r="W236" s="238"/>
      <c r="X236" s="238"/>
      <c r="Y236" s="336">
        <f>473.8-0.02</f>
        <v>473.78000000000003</v>
      </c>
      <c r="Z236" s="360">
        <f>SUM(C236:Y236)-T236</f>
        <v>493.98007</v>
      </c>
    </row>
    <row r="237" spans="1:26" ht="12.75">
      <c r="A237" s="247">
        <v>4</v>
      </c>
      <c r="B237" s="250" t="s">
        <v>18</v>
      </c>
      <c r="C237" s="239">
        <f>+C235+C234+C236</f>
        <v>5237.039999999999</v>
      </c>
      <c r="D237" s="239">
        <f aca="true" t="shared" si="37" ref="D237:Z237">+D235+D234+D236</f>
        <v>838.4000700000001</v>
      </c>
      <c r="E237" s="239">
        <f t="shared" si="37"/>
        <v>213.91</v>
      </c>
      <c r="F237" s="239">
        <f t="shared" si="37"/>
        <v>1756.48</v>
      </c>
      <c r="G237" s="239"/>
      <c r="H237" s="239">
        <f t="shared" si="37"/>
        <v>342.93</v>
      </c>
      <c r="I237" s="239">
        <f t="shared" si="37"/>
        <v>180.06</v>
      </c>
      <c r="J237" s="239">
        <f t="shared" si="37"/>
        <v>135.15</v>
      </c>
      <c r="K237" s="239">
        <f t="shared" si="37"/>
        <v>0</v>
      </c>
      <c r="L237" s="239">
        <f t="shared" si="37"/>
        <v>0.01</v>
      </c>
      <c r="M237" s="239">
        <f t="shared" si="37"/>
        <v>0</v>
      </c>
      <c r="N237" s="239">
        <f t="shared" si="37"/>
        <v>0.17</v>
      </c>
      <c r="O237" s="239">
        <f t="shared" si="37"/>
        <v>93.39</v>
      </c>
      <c r="P237" s="239">
        <f t="shared" si="37"/>
        <v>62.78</v>
      </c>
      <c r="Q237" s="239">
        <f t="shared" si="37"/>
        <v>185.34</v>
      </c>
      <c r="R237" s="239">
        <f t="shared" si="37"/>
        <v>0</v>
      </c>
      <c r="S237" s="239">
        <f t="shared" si="37"/>
        <v>0</v>
      </c>
      <c r="T237" s="239">
        <f t="shared" si="37"/>
        <v>341.68999999999994</v>
      </c>
      <c r="U237" s="239">
        <f t="shared" si="37"/>
        <v>250.81</v>
      </c>
      <c r="V237" s="239">
        <f t="shared" si="37"/>
        <v>151.34</v>
      </c>
      <c r="W237" s="239">
        <f t="shared" si="37"/>
        <v>0</v>
      </c>
      <c r="X237" s="239">
        <f t="shared" si="37"/>
        <v>0</v>
      </c>
      <c r="Y237" s="336">
        <f t="shared" si="37"/>
        <v>567.74</v>
      </c>
      <c r="Z237" s="361">
        <f t="shared" si="37"/>
        <v>10015.55007</v>
      </c>
    </row>
    <row r="238" spans="1:26" ht="12.75">
      <c r="A238" s="247">
        <v>5</v>
      </c>
      <c r="B238" s="251" t="s">
        <v>34</v>
      </c>
      <c r="C238" s="252"/>
      <c r="D238" s="252"/>
      <c r="E238" s="252"/>
      <c r="F238" s="252" t="s">
        <v>12</v>
      </c>
      <c r="G238" s="252"/>
      <c r="H238" s="249"/>
      <c r="I238" s="249"/>
      <c r="J238" s="249"/>
      <c r="K238" s="249"/>
      <c r="L238" s="249"/>
      <c r="M238" s="249"/>
      <c r="N238" s="249"/>
      <c r="O238" s="249"/>
      <c r="P238" s="249"/>
      <c r="Q238" s="249"/>
      <c r="R238" s="249"/>
      <c r="S238" s="249"/>
      <c r="T238" s="249"/>
      <c r="U238" s="249"/>
      <c r="V238" s="249"/>
      <c r="W238" s="249"/>
      <c r="X238" s="249"/>
      <c r="Y238" s="337"/>
      <c r="Z238" s="388"/>
    </row>
    <row r="239" spans="1:26" ht="12.75">
      <c r="A239" s="247" t="s">
        <v>21</v>
      </c>
      <c r="B239" s="249" t="s">
        <v>28</v>
      </c>
      <c r="C239" s="238">
        <v>389.93</v>
      </c>
      <c r="D239" s="238">
        <v>122.39</v>
      </c>
      <c r="E239" s="238">
        <v>48.51</v>
      </c>
      <c r="F239" s="238">
        <v>205.75</v>
      </c>
      <c r="G239" s="238"/>
      <c r="H239" s="238">
        <v>92.26</v>
      </c>
      <c r="I239" s="238">
        <v>27.43</v>
      </c>
      <c r="J239" s="238">
        <v>10.56</v>
      </c>
      <c r="K239" s="238"/>
      <c r="L239" s="238"/>
      <c r="M239" s="238"/>
      <c r="N239" s="238"/>
      <c r="O239" s="238">
        <v>25.7</v>
      </c>
      <c r="P239" s="238">
        <v>17.22</v>
      </c>
      <c r="Q239" s="238">
        <v>44.83</v>
      </c>
      <c r="R239" s="238"/>
      <c r="S239" s="238"/>
      <c r="T239" s="238">
        <f>SUM(K239:S239)</f>
        <v>87.75</v>
      </c>
      <c r="U239" s="238"/>
      <c r="V239" s="238"/>
      <c r="W239" s="238"/>
      <c r="X239" s="238"/>
      <c r="Y239" s="335"/>
      <c r="Z239" s="358">
        <f>SUM(C239:Y239)-T239</f>
        <v>984.5799999999999</v>
      </c>
    </row>
    <row r="240" spans="1:26" ht="12.75">
      <c r="A240" s="247" t="s">
        <v>22</v>
      </c>
      <c r="B240" s="249" t="s">
        <v>25</v>
      </c>
      <c r="C240" s="238">
        <v>969.23</v>
      </c>
      <c r="D240" s="238">
        <v>168.16</v>
      </c>
      <c r="E240" s="238">
        <v>52.66</v>
      </c>
      <c r="F240" s="238">
        <v>435.35</v>
      </c>
      <c r="G240" s="238"/>
      <c r="H240" s="238">
        <v>91.11</v>
      </c>
      <c r="I240" s="238">
        <v>43.07</v>
      </c>
      <c r="J240" s="238">
        <v>43.99</v>
      </c>
      <c r="K240" s="238"/>
      <c r="L240" s="238">
        <v>0.21</v>
      </c>
      <c r="M240" s="238"/>
      <c r="N240" s="238">
        <v>-0.03</v>
      </c>
      <c r="O240" s="238">
        <v>23.44</v>
      </c>
      <c r="P240" s="238">
        <v>17.91</v>
      </c>
      <c r="Q240" s="238">
        <v>37.95</v>
      </c>
      <c r="R240" s="238"/>
      <c r="S240" s="238"/>
      <c r="T240" s="238">
        <f>SUM(K240:S240)</f>
        <v>79.48</v>
      </c>
      <c r="U240" s="238">
        <v>7.81</v>
      </c>
      <c r="V240" s="238">
        <v>77.05</v>
      </c>
      <c r="W240" s="238"/>
      <c r="X240" s="238"/>
      <c r="Y240" s="335">
        <v>391.15</v>
      </c>
      <c r="Z240" s="358">
        <f>SUM(C240:Y240)-T240</f>
        <v>2359.06</v>
      </c>
    </row>
    <row r="241" spans="1:26" ht="12.75">
      <c r="A241" s="247" t="s">
        <v>23</v>
      </c>
      <c r="B241" s="249" t="s">
        <v>26</v>
      </c>
      <c r="C241" s="238">
        <v>579.31</v>
      </c>
      <c r="D241" s="238">
        <v>94.46</v>
      </c>
      <c r="E241" s="238">
        <v>21.59</v>
      </c>
      <c r="F241" s="238">
        <v>425.38</v>
      </c>
      <c r="G241" s="238"/>
      <c r="H241" s="238">
        <v>36.15</v>
      </c>
      <c r="I241" s="238">
        <v>13.39</v>
      </c>
      <c r="J241" s="238">
        <v>6.47</v>
      </c>
      <c r="K241" s="238"/>
      <c r="L241" s="238"/>
      <c r="M241" s="238"/>
      <c r="N241" s="238"/>
      <c r="O241" s="238">
        <v>12.99</v>
      </c>
      <c r="P241" s="238">
        <v>8.54</v>
      </c>
      <c r="Q241" s="238">
        <v>15.35</v>
      </c>
      <c r="R241" s="238"/>
      <c r="S241" s="238"/>
      <c r="T241" s="238">
        <f>SUM(K241:S241)</f>
        <v>36.88</v>
      </c>
      <c r="U241" s="238"/>
      <c r="V241" s="238"/>
      <c r="W241" s="238"/>
      <c r="X241" s="238"/>
      <c r="Y241" s="335">
        <f>-2.66+0.01</f>
        <v>-2.6500000000000004</v>
      </c>
      <c r="Z241" s="358">
        <f>SUM(C241:Y241)-T241</f>
        <v>1210.98</v>
      </c>
    </row>
    <row r="242" spans="1:26" ht="12.75">
      <c r="A242" s="247" t="s">
        <v>24</v>
      </c>
      <c r="B242" s="249" t="s">
        <v>27</v>
      </c>
      <c r="C242" s="238">
        <v>1214.46</v>
      </c>
      <c r="D242" s="238">
        <f>281.12</f>
        <v>281.12</v>
      </c>
      <c r="E242" s="238">
        <v>56.68</v>
      </c>
      <c r="F242" s="238">
        <v>487.09</v>
      </c>
      <c r="G242" s="238"/>
      <c r="H242" s="238">
        <v>56.28</v>
      </c>
      <c r="I242" s="238">
        <v>37.32</v>
      </c>
      <c r="J242" s="238">
        <v>33.28</v>
      </c>
      <c r="K242" s="238"/>
      <c r="L242" s="238">
        <v>0.05</v>
      </c>
      <c r="M242" s="238"/>
      <c r="N242" s="238">
        <v>0.57</v>
      </c>
      <c r="O242" s="238">
        <v>17.39</v>
      </c>
      <c r="P242" s="238">
        <v>15.3</v>
      </c>
      <c r="Q242" s="238">
        <v>32.38</v>
      </c>
      <c r="R242" s="238"/>
      <c r="S242" s="238"/>
      <c r="T242" s="238">
        <f>SUM(K242:S242)</f>
        <v>65.69</v>
      </c>
      <c r="U242" s="238">
        <v>77.16</v>
      </c>
      <c r="V242" s="238">
        <v>21.54</v>
      </c>
      <c r="W242" s="238"/>
      <c r="X242" s="238"/>
      <c r="Y242" s="335">
        <v>216.39</v>
      </c>
      <c r="Z242" s="358">
        <f>SUM(C242:Y242)-T242</f>
        <v>2547.0100000000007</v>
      </c>
    </row>
    <row r="243" spans="1:26" ht="12.75">
      <c r="A243" s="247"/>
      <c r="B243" s="250" t="s">
        <v>164</v>
      </c>
      <c r="C243" s="239">
        <f aca="true" t="shared" si="38" ref="C243:Z243">SUM(C239:C242)</f>
        <v>3152.9300000000003</v>
      </c>
      <c r="D243" s="239">
        <f t="shared" si="38"/>
        <v>666.13</v>
      </c>
      <c r="E243" s="239">
        <f t="shared" si="38"/>
        <v>179.44</v>
      </c>
      <c r="F243" s="239">
        <f t="shared" si="38"/>
        <v>1553.57</v>
      </c>
      <c r="G243" s="239"/>
      <c r="H243" s="239">
        <f t="shared" si="38"/>
        <v>275.8</v>
      </c>
      <c r="I243" s="239">
        <f t="shared" si="38"/>
        <v>121.21000000000001</v>
      </c>
      <c r="J243" s="239">
        <f t="shared" si="38"/>
        <v>94.30000000000001</v>
      </c>
      <c r="K243" s="239">
        <f t="shared" si="38"/>
        <v>0</v>
      </c>
      <c r="L243" s="239">
        <f t="shared" si="38"/>
        <v>0.26</v>
      </c>
      <c r="M243" s="239">
        <f t="shared" si="38"/>
        <v>0</v>
      </c>
      <c r="N243" s="239">
        <f t="shared" si="38"/>
        <v>0.5399999999999999</v>
      </c>
      <c r="O243" s="239">
        <f t="shared" si="38"/>
        <v>79.52000000000001</v>
      </c>
      <c r="P243" s="239">
        <f t="shared" si="38"/>
        <v>58.97</v>
      </c>
      <c r="Q243" s="239">
        <f t="shared" si="38"/>
        <v>130.51</v>
      </c>
      <c r="R243" s="239">
        <f t="shared" si="38"/>
        <v>0</v>
      </c>
      <c r="S243" s="239">
        <f t="shared" si="38"/>
        <v>0</v>
      </c>
      <c r="T243" s="239">
        <f t="shared" si="38"/>
        <v>269.8</v>
      </c>
      <c r="U243" s="239">
        <f t="shared" si="38"/>
        <v>84.97</v>
      </c>
      <c r="V243" s="239">
        <f t="shared" si="38"/>
        <v>98.59</v>
      </c>
      <c r="W243" s="239">
        <f t="shared" si="38"/>
        <v>0</v>
      </c>
      <c r="X243" s="239">
        <f t="shared" si="38"/>
        <v>0</v>
      </c>
      <c r="Y243" s="336">
        <f t="shared" si="38"/>
        <v>604.89</v>
      </c>
      <c r="Z243" s="359">
        <f t="shared" si="38"/>
        <v>7101.630000000001</v>
      </c>
    </row>
    <row r="244" spans="1:26" ht="12.75">
      <c r="A244" s="247">
        <v>6</v>
      </c>
      <c r="B244" s="249" t="s">
        <v>244</v>
      </c>
      <c r="C244" s="238">
        <f>+C237-C243</f>
        <v>2084.1099999999988</v>
      </c>
      <c r="D244" s="238">
        <f aca="true" t="shared" si="39" ref="D244:Z244">+D237-D243</f>
        <v>172.27007000000015</v>
      </c>
      <c r="E244" s="238">
        <f t="shared" si="39"/>
        <v>34.47</v>
      </c>
      <c r="F244" s="238">
        <f t="shared" si="39"/>
        <v>202.91000000000008</v>
      </c>
      <c r="G244" s="238"/>
      <c r="H244" s="238">
        <f t="shared" si="39"/>
        <v>67.13</v>
      </c>
      <c r="I244" s="238">
        <f t="shared" si="39"/>
        <v>58.849999999999994</v>
      </c>
      <c r="J244" s="238">
        <f t="shared" si="39"/>
        <v>40.849999999999994</v>
      </c>
      <c r="K244" s="238">
        <f t="shared" si="39"/>
        <v>0</v>
      </c>
      <c r="L244" s="238">
        <f t="shared" si="39"/>
        <v>-0.25</v>
      </c>
      <c r="M244" s="238">
        <f t="shared" si="39"/>
        <v>0</v>
      </c>
      <c r="N244" s="238">
        <f t="shared" si="39"/>
        <v>-0.3699999999999999</v>
      </c>
      <c r="O244" s="238">
        <f t="shared" si="39"/>
        <v>13.86999999999999</v>
      </c>
      <c r="P244" s="238">
        <f t="shared" si="39"/>
        <v>3.8100000000000023</v>
      </c>
      <c r="Q244" s="238">
        <f t="shared" si="39"/>
        <v>54.83000000000001</v>
      </c>
      <c r="R244" s="238">
        <f t="shared" si="39"/>
        <v>0</v>
      </c>
      <c r="S244" s="238">
        <f t="shared" si="39"/>
        <v>0</v>
      </c>
      <c r="T244" s="238">
        <f t="shared" si="39"/>
        <v>71.88999999999993</v>
      </c>
      <c r="U244" s="238">
        <f t="shared" si="39"/>
        <v>165.84</v>
      </c>
      <c r="V244" s="238">
        <f t="shared" si="39"/>
        <v>52.75</v>
      </c>
      <c r="W244" s="238">
        <f t="shared" si="39"/>
        <v>0</v>
      </c>
      <c r="X244" s="238">
        <f t="shared" si="39"/>
        <v>0</v>
      </c>
      <c r="Y244" s="335">
        <f t="shared" si="39"/>
        <v>-37.14999999999998</v>
      </c>
      <c r="Z244" s="358">
        <f t="shared" si="39"/>
        <v>2913.9200699999983</v>
      </c>
    </row>
    <row r="245" spans="1:26" ht="12.75">
      <c r="A245" s="247">
        <v>7</v>
      </c>
      <c r="B245" s="253" t="s">
        <v>42</v>
      </c>
      <c r="C245" s="238">
        <v>607.45</v>
      </c>
      <c r="D245" s="238">
        <v>224.51</v>
      </c>
      <c r="E245" s="238">
        <v>0.34</v>
      </c>
      <c r="F245" s="238">
        <v>398.49</v>
      </c>
      <c r="G245" s="238"/>
      <c r="H245" s="238">
        <v>23.4</v>
      </c>
      <c r="I245" s="238">
        <v>19.76</v>
      </c>
      <c r="J245" s="238">
        <v>20.73</v>
      </c>
      <c r="K245" s="238"/>
      <c r="L245" s="238">
        <v>0.8</v>
      </c>
      <c r="M245" s="238">
        <v>0</v>
      </c>
      <c r="N245" s="238">
        <v>0.05</v>
      </c>
      <c r="O245" s="238">
        <v>17.72</v>
      </c>
      <c r="P245" s="238">
        <v>2.44</v>
      </c>
      <c r="Q245" s="238">
        <v>1.41</v>
      </c>
      <c r="R245" s="238"/>
      <c r="S245" s="238"/>
      <c r="T245" s="238">
        <f>SUM(K245:S245)</f>
        <v>22.42</v>
      </c>
      <c r="U245" s="238"/>
      <c r="V245" s="238">
        <v>0</v>
      </c>
      <c r="W245" s="238"/>
      <c r="X245" s="238"/>
      <c r="Y245" s="335">
        <v>86.09</v>
      </c>
      <c r="Z245" s="358">
        <f>SUM(C245:Y245)-T245</f>
        <v>1403.19</v>
      </c>
    </row>
    <row r="246" spans="1:26" ht="25.5">
      <c r="A246" s="246">
        <v>8</v>
      </c>
      <c r="B246" s="217" t="s">
        <v>174</v>
      </c>
      <c r="C246" s="239">
        <f>+C244-C245</f>
        <v>1476.6599999999987</v>
      </c>
      <c r="D246" s="239">
        <f aca="true" t="shared" si="40" ref="D246:Z246">+D244-D245</f>
        <v>-52.239929999999845</v>
      </c>
      <c r="E246" s="239">
        <f t="shared" si="40"/>
        <v>34.129999999999995</v>
      </c>
      <c r="F246" s="239">
        <f t="shared" si="40"/>
        <v>-195.57999999999993</v>
      </c>
      <c r="G246" s="239"/>
      <c r="H246" s="239">
        <f t="shared" si="40"/>
        <v>43.73</v>
      </c>
      <c r="I246" s="239">
        <f t="shared" si="40"/>
        <v>39.08999999999999</v>
      </c>
      <c r="J246" s="239">
        <f t="shared" si="40"/>
        <v>20.119999999999994</v>
      </c>
      <c r="K246" s="239">
        <f t="shared" si="40"/>
        <v>0</v>
      </c>
      <c r="L246" s="239">
        <f t="shared" si="40"/>
        <v>-1.05</v>
      </c>
      <c r="M246" s="239">
        <f t="shared" si="40"/>
        <v>0</v>
      </c>
      <c r="N246" s="239">
        <f t="shared" si="40"/>
        <v>-0.4199999999999999</v>
      </c>
      <c r="O246" s="239">
        <f t="shared" si="40"/>
        <v>-3.8500000000000085</v>
      </c>
      <c r="P246" s="239">
        <f t="shared" si="40"/>
        <v>1.3700000000000023</v>
      </c>
      <c r="Q246" s="239">
        <f t="shared" si="40"/>
        <v>53.420000000000016</v>
      </c>
      <c r="R246" s="239">
        <f t="shared" si="40"/>
        <v>0</v>
      </c>
      <c r="S246" s="239">
        <f t="shared" si="40"/>
        <v>0</v>
      </c>
      <c r="T246" s="239">
        <f t="shared" si="40"/>
        <v>49.46999999999993</v>
      </c>
      <c r="U246" s="239">
        <f t="shared" si="40"/>
        <v>165.84</v>
      </c>
      <c r="V246" s="239">
        <f t="shared" si="40"/>
        <v>52.75</v>
      </c>
      <c r="W246" s="239">
        <f t="shared" si="40"/>
        <v>0</v>
      </c>
      <c r="X246" s="239">
        <f t="shared" si="40"/>
        <v>0</v>
      </c>
      <c r="Y246" s="336">
        <f t="shared" si="40"/>
        <v>-123.23999999999998</v>
      </c>
      <c r="Z246" s="359">
        <f t="shared" si="40"/>
        <v>1510.7300699999982</v>
      </c>
    </row>
    <row r="247" spans="1:26" ht="38.25">
      <c r="A247" s="254">
        <v>9</v>
      </c>
      <c r="B247" s="258" t="s">
        <v>238</v>
      </c>
      <c r="C247" s="240">
        <f>'[3]interest allocation'!B233</f>
        <v>0</v>
      </c>
      <c r="D247" s="240">
        <f>'[3]interest allocation'!C233</f>
        <v>0</v>
      </c>
      <c r="E247" s="240">
        <f>'[3]interest allocation'!D233</f>
        <v>0</v>
      </c>
      <c r="F247" s="240">
        <f>'[3]interest allocation'!E233</f>
        <v>0</v>
      </c>
      <c r="G247" s="240"/>
      <c r="H247" s="240">
        <f>'[3]interest allocation'!F233</f>
        <v>0</v>
      </c>
      <c r="I247" s="240">
        <f>'[3]interest allocation'!G233</f>
        <v>0</v>
      </c>
      <c r="J247" s="240">
        <f>'[3]interest allocation'!J233</f>
        <v>0</v>
      </c>
      <c r="K247" s="240"/>
      <c r="L247" s="240"/>
      <c r="M247" s="240"/>
      <c r="N247" s="240"/>
      <c r="O247" s="240"/>
      <c r="P247" s="240"/>
      <c r="Q247" s="240"/>
      <c r="R247" s="240">
        <v>0</v>
      </c>
      <c r="S247" s="240">
        <f>'[3]interest allocation'!H233</f>
        <v>0</v>
      </c>
      <c r="T247" s="240">
        <f>SUM(K247:S247)</f>
        <v>0</v>
      </c>
      <c r="U247" s="240">
        <v>0</v>
      </c>
      <c r="V247" s="240">
        <v>0</v>
      </c>
      <c r="W247" s="240">
        <f>'[3]interest allocation'!N233</f>
        <v>0</v>
      </c>
      <c r="X247" s="240">
        <f>'[3]interest allocation'!O233</f>
        <v>0</v>
      </c>
      <c r="Y247" s="338">
        <f>'[3]interest allocation'!$P$9</f>
        <v>2986.51543547514</v>
      </c>
      <c r="Z247" s="360">
        <f>SUM(C247:Y247)-T247</f>
        <v>2986.51543547514</v>
      </c>
    </row>
    <row r="248" spans="1:26" ht="12.75">
      <c r="A248" s="259">
        <v>10</v>
      </c>
      <c r="B248" s="260" t="s">
        <v>109</v>
      </c>
      <c r="C248" s="261">
        <v>0</v>
      </c>
      <c r="D248" s="261">
        <v>0</v>
      </c>
      <c r="E248" s="261">
        <v>0</v>
      </c>
      <c r="F248" s="261">
        <v>0</v>
      </c>
      <c r="G248" s="261"/>
      <c r="H248" s="261">
        <v>0</v>
      </c>
      <c r="I248" s="261">
        <v>0</v>
      </c>
      <c r="J248" s="261"/>
      <c r="K248" s="261">
        <v>0</v>
      </c>
      <c r="L248" s="261"/>
      <c r="M248" s="261">
        <v>0</v>
      </c>
      <c r="N248" s="261"/>
      <c r="O248" s="261"/>
      <c r="P248" s="261"/>
      <c r="Q248" s="261"/>
      <c r="R248" s="261">
        <v>0</v>
      </c>
      <c r="S248" s="261"/>
      <c r="T248" s="240">
        <f>SUM(K248:S248)</f>
        <v>0</v>
      </c>
      <c r="U248" s="261">
        <v>0</v>
      </c>
      <c r="V248" s="261">
        <v>0</v>
      </c>
      <c r="W248" s="261"/>
      <c r="X248" s="261"/>
      <c r="Y248" s="339">
        <v>0</v>
      </c>
      <c r="Z248" s="261">
        <f>SUM(C248:Y248)-T248</f>
        <v>0</v>
      </c>
    </row>
    <row r="249" spans="1:26" ht="12.75">
      <c r="A249" s="259">
        <v>11</v>
      </c>
      <c r="B249" s="260" t="s">
        <v>248</v>
      </c>
      <c r="C249" s="261"/>
      <c r="D249" s="261"/>
      <c r="E249" s="261"/>
      <c r="F249" s="261"/>
      <c r="G249" s="261"/>
      <c r="H249" s="261"/>
      <c r="I249" s="261"/>
      <c r="J249" s="261"/>
      <c r="K249" s="261"/>
      <c r="L249" s="261"/>
      <c r="M249" s="261"/>
      <c r="N249" s="261"/>
      <c r="O249" s="261"/>
      <c r="P249" s="261"/>
      <c r="Q249" s="261"/>
      <c r="R249" s="261">
        <v>0</v>
      </c>
      <c r="S249" s="261"/>
      <c r="T249" s="261">
        <v>0</v>
      </c>
      <c r="U249" s="261"/>
      <c r="V249" s="261"/>
      <c r="W249" s="261"/>
      <c r="X249" s="261"/>
      <c r="Y249" s="339">
        <v>0</v>
      </c>
      <c r="Z249" s="261">
        <f>SUM(C249:Y249)-T249</f>
        <v>0</v>
      </c>
    </row>
    <row r="250" spans="1:26" ht="12.75">
      <c r="A250" s="255">
        <v>11</v>
      </c>
      <c r="B250" s="218" t="s">
        <v>148</v>
      </c>
      <c r="C250" s="241">
        <f>+C246-C247+C248-C249</f>
        <v>1476.6599999999987</v>
      </c>
      <c r="D250" s="241">
        <f>+D246-D247+D248-D249</f>
        <v>-52.239929999999845</v>
      </c>
      <c r="E250" s="241">
        <f aca="true" t="shared" si="41" ref="E250:Z250">+E246-E247+E248-E249</f>
        <v>34.129999999999995</v>
      </c>
      <c r="F250" s="241">
        <f t="shared" si="41"/>
        <v>-195.57999999999993</v>
      </c>
      <c r="G250" s="241"/>
      <c r="H250" s="241">
        <f t="shared" si="41"/>
        <v>43.73</v>
      </c>
      <c r="I250" s="241">
        <f t="shared" si="41"/>
        <v>39.08999999999999</v>
      </c>
      <c r="J250" s="241">
        <f t="shared" si="41"/>
        <v>20.119999999999994</v>
      </c>
      <c r="K250" s="241">
        <f t="shared" si="41"/>
        <v>0</v>
      </c>
      <c r="L250" s="241">
        <f t="shared" si="41"/>
        <v>-1.05</v>
      </c>
      <c r="M250" s="241">
        <f t="shared" si="41"/>
        <v>0</v>
      </c>
      <c r="N250" s="241">
        <f t="shared" si="41"/>
        <v>-0.4199999999999999</v>
      </c>
      <c r="O250" s="241">
        <f t="shared" si="41"/>
        <v>-3.8500000000000085</v>
      </c>
      <c r="P250" s="241">
        <f t="shared" si="41"/>
        <v>1.3700000000000023</v>
      </c>
      <c r="Q250" s="241">
        <f t="shared" si="41"/>
        <v>53.420000000000016</v>
      </c>
      <c r="R250" s="241">
        <f t="shared" si="41"/>
        <v>0</v>
      </c>
      <c r="S250" s="241">
        <f t="shared" si="41"/>
        <v>0</v>
      </c>
      <c r="T250" s="241">
        <f t="shared" si="41"/>
        <v>49.46999999999993</v>
      </c>
      <c r="U250" s="241">
        <f t="shared" si="41"/>
        <v>165.84</v>
      </c>
      <c r="V250" s="241">
        <f t="shared" si="41"/>
        <v>52.75</v>
      </c>
      <c r="W250" s="241">
        <f t="shared" si="41"/>
        <v>0</v>
      </c>
      <c r="X250" s="241">
        <f t="shared" si="41"/>
        <v>0</v>
      </c>
      <c r="Y250" s="340">
        <f t="shared" si="41"/>
        <v>-3109.7554354751396</v>
      </c>
      <c r="Z250" s="361">
        <f t="shared" si="41"/>
        <v>-1475.7853654751416</v>
      </c>
    </row>
    <row r="251" spans="1:26" ht="12.75">
      <c r="A251" s="414">
        <v>11</v>
      </c>
      <c r="B251" s="415" t="s">
        <v>109</v>
      </c>
      <c r="C251" s="94"/>
      <c r="D251" s="95"/>
      <c r="E251" s="95"/>
      <c r="F251" s="95"/>
      <c r="G251" s="95"/>
      <c r="H251" s="95"/>
      <c r="I251" s="95"/>
      <c r="J251" s="95"/>
      <c r="K251" s="95"/>
      <c r="L251" s="95"/>
      <c r="M251" s="95"/>
      <c r="N251" s="95"/>
      <c r="O251" s="95"/>
      <c r="P251" s="95"/>
      <c r="Q251" s="95"/>
      <c r="R251" s="95"/>
      <c r="S251" s="95"/>
      <c r="T251" s="95"/>
      <c r="U251" s="95"/>
      <c r="V251" s="95"/>
      <c r="W251" s="95"/>
      <c r="X251" s="95"/>
      <c r="Y251" s="95"/>
      <c r="Z251" s="95"/>
    </row>
    <row r="252" spans="1:26" ht="21">
      <c r="A252" s="416"/>
      <c r="B252" s="417" t="s">
        <v>145</v>
      </c>
      <c r="C252" s="171"/>
      <c r="D252" s="171"/>
      <c r="E252" s="171"/>
      <c r="F252" s="171"/>
      <c r="G252" s="171"/>
      <c r="H252" s="171"/>
      <c r="I252" s="171"/>
      <c r="J252" s="171"/>
      <c r="K252" s="206"/>
      <c r="L252" s="206"/>
      <c r="M252" s="206"/>
      <c r="N252" s="206"/>
      <c r="O252" s="206"/>
      <c r="P252" s="206"/>
      <c r="Q252" s="206"/>
      <c r="R252" s="206"/>
      <c r="S252" s="206"/>
      <c r="T252" s="418" t="e">
        <f>SUM(#REF!)</f>
        <v>#REF!</v>
      </c>
      <c r="U252" s="171"/>
      <c r="V252" s="171"/>
      <c r="W252" s="171"/>
      <c r="X252" s="171"/>
      <c r="Y252" s="171">
        <v>0</v>
      </c>
      <c r="Z252" s="188" t="e">
        <f>SUM(C252:Y252)-T252</f>
        <v>#REF!</v>
      </c>
    </row>
    <row r="253" spans="1:26" ht="21">
      <c r="A253" s="419"/>
      <c r="B253" s="417" t="s">
        <v>202</v>
      </c>
      <c r="C253" s="171">
        <v>0</v>
      </c>
      <c r="D253" s="171"/>
      <c r="E253" s="171"/>
      <c r="F253" s="171">
        <v>0</v>
      </c>
      <c r="G253" s="171"/>
      <c r="H253" s="171">
        <v>0</v>
      </c>
      <c r="I253" s="171"/>
      <c r="J253" s="171"/>
      <c r="K253" s="171">
        <v>0</v>
      </c>
      <c r="L253" s="171"/>
      <c r="M253" s="171"/>
      <c r="N253" s="171"/>
      <c r="O253" s="171">
        <v>0</v>
      </c>
      <c r="P253" s="171"/>
      <c r="Q253" s="171"/>
      <c r="R253" s="171"/>
      <c r="S253" s="206"/>
      <c r="T253" s="68">
        <f>SUM(K253:Q253)</f>
        <v>0</v>
      </c>
      <c r="U253" s="171"/>
      <c r="V253" s="171"/>
      <c r="W253" s="171"/>
      <c r="X253" s="171"/>
      <c r="Y253" s="171">
        <v>0</v>
      </c>
      <c r="Z253" s="188">
        <f>SUM(C253:Y253)-T253</f>
        <v>0</v>
      </c>
    </row>
    <row r="254" spans="1:26" ht="28.5">
      <c r="A254" s="419"/>
      <c r="B254" s="420" t="s">
        <v>237</v>
      </c>
      <c r="C254" s="171"/>
      <c r="D254" s="171"/>
      <c r="E254" s="171"/>
      <c r="F254" s="171"/>
      <c r="G254" s="171"/>
      <c r="H254" s="171"/>
      <c r="I254" s="171"/>
      <c r="J254" s="171"/>
      <c r="K254" s="171"/>
      <c r="L254" s="171"/>
      <c r="M254" s="171"/>
      <c r="N254" s="171"/>
      <c r="O254" s="171"/>
      <c r="P254" s="171"/>
      <c r="Q254" s="171"/>
      <c r="R254" s="206"/>
      <c r="S254" s="206"/>
      <c r="T254" s="191"/>
      <c r="U254" s="171"/>
      <c r="V254" s="171"/>
      <c r="W254" s="171"/>
      <c r="X254" s="171"/>
      <c r="Y254" s="171">
        <v>0</v>
      </c>
      <c r="Z254" s="188">
        <f>SUM(C254:Y254)-T254</f>
        <v>0</v>
      </c>
    </row>
    <row r="255" spans="1:26" ht="12.75">
      <c r="A255" s="421">
        <v>12</v>
      </c>
      <c r="B255" s="218" t="s">
        <v>148</v>
      </c>
      <c r="C255" s="211">
        <f>+C250+C253+C254</f>
        <v>1476.6599999999987</v>
      </c>
      <c r="D255" s="211">
        <f aca="true" t="shared" si="42" ref="D255:R255">+D250+D253+D254</f>
        <v>-52.239929999999845</v>
      </c>
      <c r="E255" s="211">
        <f t="shared" si="42"/>
        <v>34.129999999999995</v>
      </c>
      <c r="F255" s="211">
        <f t="shared" si="42"/>
        <v>-195.57999999999993</v>
      </c>
      <c r="G255" s="211"/>
      <c r="H255" s="211">
        <f t="shared" si="42"/>
        <v>43.73</v>
      </c>
      <c r="I255" s="211">
        <f t="shared" si="42"/>
        <v>39.08999999999999</v>
      </c>
      <c r="J255" s="211">
        <f t="shared" si="42"/>
        <v>20.119999999999994</v>
      </c>
      <c r="K255" s="211">
        <f t="shared" si="42"/>
        <v>0</v>
      </c>
      <c r="L255" s="211">
        <f t="shared" si="42"/>
        <v>-1.05</v>
      </c>
      <c r="M255" s="211">
        <f t="shared" si="42"/>
        <v>0</v>
      </c>
      <c r="N255" s="211">
        <f t="shared" si="42"/>
        <v>-0.4199999999999999</v>
      </c>
      <c r="O255" s="211">
        <f t="shared" si="42"/>
        <v>-3.8500000000000085</v>
      </c>
      <c r="P255" s="211">
        <f t="shared" si="42"/>
        <v>1.3700000000000023</v>
      </c>
      <c r="Q255" s="211">
        <f t="shared" si="42"/>
        <v>53.420000000000016</v>
      </c>
      <c r="R255" s="211">
        <f t="shared" si="42"/>
        <v>0</v>
      </c>
      <c r="S255" s="211"/>
      <c r="T255" s="211">
        <f aca="true" t="shared" si="43" ref="T255:Z255">+T250+T253+T254</f>
        <v>49.46999999999993</v>
      </c>
      <c r="U255" s="211">
        <f t="shared" si="43"/>
        <v>165.84</v>
      </c>
      <c r="V255" s="211">
        <f t="shared" si="43"/>
        <v>52.75</v>
      </c>
      <c r="W255" s="211">
        <f t="shared" si="43"/>
        <v>0</v>
      </c>
      <c r="X255" s="211">
        <f t="shared" si="43"/>
        <v>0</v>
      </c>
      <c r="Y255" s="211">
        <f t="shared" si="43"/>
        <v>-3109.7554354751396</v>
      </c>
      <c r="Z255" s="343">
        <f t="shared" si="43"/>
        <v>-1475.7853654751416</v>
      </c>
    </row>
    <row r="256" spans="1:26" ht="12.75">
      <c r="A256" s="421"/>
      <c r="B256" s="218"/>
      <c r="C256" s="211"/>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343"/>
    </row>
    <row r="257" spans="1:26" ht="12.75">
      <c r="A257" s="422" t="s">
        <v>12</v>
      </c>
      <c r="B257" s="170" t="s">
        <v>5</v>
      </c>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344"/>
    </row>
    <row r="258" spans="1:26" ht="12.75">
      <c r="A258" s="421"/>
      <c r="B258" s="170" t="s">
        <v>140</v>
      </c>
      <c r="C258" s="171">
        <v>18259.8099276</v>
      </c>
      <c r="D258" s="171">
        <v>6655.4474642000005</v>
      </c>
      <c r="E258" s="171">
        <v>698.389405</v>
      </c>
      <c r="F258" s="171">
        <v>14117.1470424</v>
      </c>
      <c r="G258" s="171"/>
      <c r="H258" s="171">
        <v>356.1741007</v>
      </c>
      <c r="I258" s="171">
        <v>232.85963400000003</v>
      </c>
      <c r="J258" s="171"/>
      <c r="K258" s="206"/>
      <c r="L258" s="206"/>
      <c r="M258" s="206"/>
      <c r="N258" s="206"/>
      <c r="O258" s="206"/>
      <c r="P258" s="206"/>
      <c r="Q258" s="206"/>
      <c r="R258" s="206"/>
      <c r="S258" s="206"/>
      <c r="T258" s="68" t="e">
        <f>SUM(#REF!)</f>
        <v>#REF!</v>
      </c>
      <c r="U258" s="171">
        <v>0</v>
      </c>
      <c r="V258" s="171"/>
      <c r="W258" s="171">
        <v>4032.99</v>
      </c>
      <c r="X258" s="171">
        <v>20601.32</v>
      </c>
      <c r="Y258" s="171">
        <v>3160.1741811000006</v>
      </c>
      <c r="Z258" s="188" t="e">
        <f>SUM(C258:Y258)-T258</f>
        <v>#REF!</v>
      </c>
    </row>
    <row r="259" spans="1:26" ht="12.75">
      <c r="A259" s="421"/>
      <c r="B259" s="170" t="s">
        <v>6</v>
      </c>
      <c r="C259" s="171">
        <v>5157.1659326</v>
      </c>
      <c r="D259" s="171">
        <v>986.0433688999999</v>
      </c>
      <c r="E259" s="171">
        <v>26.502863700000002</v>
      </c>
      <c r="F259" s="171">
        <v>2479.2838715</v>
      </c>
      <c r="G259" s="171"/>
      <c r="H259" s="171">
        <v>68.1334473</v>
      </c>
      <c r="I259" s="171">
        <v>37.8133067</v>
      </c>
      <c r="J259" s="171"/>
      <c r="K259" s="206"/>
      <c r="L259" s="206"/>
      <c r="M259" s="206"/>
      <c r="N259" s="206"/>
      <c r="O259" s="206"/>
      <c r="P259" s="206"/>
      <c r="Q259" s="206"/>
      <c r="R259" s="206"/>
      <c r="S259" s="206"/>
      <c r="T259" s="68" t="e">
        <f>SUM(#REF!)</f>
        <v>#REF!</v>
      </c>
      <c r="U259" s="171">
        <v>0</v>
      </c>
      <c r="V259" s="171">
        <v>0</v>
      </c>
      <c r="W259" s="171">
        <v>0</v>
      </c>
      <c r="X259" s="171">
        <v>0</v>
      </c>
      <c r="Y259" s="171">
        <v>415.3859118</v>
      </c>
      <c r="Z259" s="188" t="e">
        <f>SUM(C259:Y259)-T259</f>
        <v>#REF!</v>
      </c>
    </row>
    <row r="260" spans="1:26" ht="12.75">
      <c r="A260" s="421"/>
      <c r="B260" s="170" t="s">
        <v>7</v>
      </c>
      <c r="C260" s="171">
        <f aca="true" t="shared" si="44" ref="C260:I260">+C258-C259</f>
        <v>13102.643994999999</v>
      </c>
      <c r="D260" s="171">
        <f t="shared" si="44"/>
        <v>5669.4040953</v>
      </c>
      <c r="E260" s="171">
        <f t="shared" si="44"/>
        <v>671.8865413</v>
      </c>
      <c r="F260" s="171">
        <f t="shared" si="44"/>
        <v>11637.8631709</v>
      </c>
      <c r="G260" s="171"/>
      <c r="H260" s="171">
        <f t="shared" si="44"/>
        <v>288.0406534</v>
      </c>
      <c r="I260" s="171">
        <f t="shared" si="44"/>
        <v>195.04632730000003</v>
      </c>
      <c r="J260" s="171"/>
      <c r="K260" s="171"/>
      <c r="L260" s="171"/>
      <c r="M260" s="171"/>
      <c r="N260" s="171"/>
      <c r="O260" s="171"/>
      <c r="P260" s="171"/>
      <c r="Q260" s="171"/>
      <c r="R260" s="171"/>
      <c r="S260" s="171"/>
      <c r="T260" s="171" t="e">
        <f aca="true" t="shared" si="45" ref="T260:Z260">+T258-T259</f>
        <v>#REF!</v>
      </c>
      <c r="U260" s="171">
        <f t="shared" si="45"/>
        <v>0</v>
      </c>
      <c r="V260" s="171">
        <f t="shared" si="45"/>
        <v>0</v>
      </c>
      <c r="W260" s="171">
        <f t="shared" si="45"/>
        <v>4032.99</v>
      </c>
      <c r="X260" s="171">
        <f t="shared" si="45"/>
        <v>20601.32</v>
      </c>
      <c r="Y260" s="171">
        <f t="shared" si="45"/>
        <v>2744.7882693000006</v>
      </c>
      <c r="Z260" s="344" t="e">
        <f t="shared" si="45"/>
        <v>#REF!</v>
      </c>
    </row>
    <row r="261" spans="1:26" ht="11.25">
      <c r="A261" s="172"/>
      <c r="B261" s="172"/>
      <c r="C261" s="423" t="s">
        <v>12</v>
      </c>
      <c r="D261" s="423" t="s">
        <v>144</v>
      </c>
      <c r="E261" s="423" t="s">
        <v>144</v>
      </c>
      <c r="F261" s="423" t="s">
        <v>144</v>
      </c>
      <c r="G261" s="423"/>
      <c r="H261" s="423" t="s">
        <v>144</v>
      </c>
      <c r="I261" s="423" t="s">
        <v>144</v>
      </c>
      <c r="J261" s="423"/>
      <c r="K261" s="423"/>
      <c r="L261" s="423"/>
      <c r="M261" s="423"/>
      <c r="N261" s="423"/>
      <c r="O261" s="423"/>
      <c r="P261" s="423"/>
      <c r="Q261" s="423"/>
      <c r="R261" s="423"/>
      <c r="S261" s="423"/>
      <c r="T261" s="423"/>
      <c r="U261" s="423" t="s">
        <v>144</v>
      </c>
      <c r="V261" s="423" t="s">
        <v>12</v>
      </c>
      <c r="W261" s="423"/>
      <c r="X261" s="423"/>
      <c r="Y261" s="423" t="s">
        <v>144</v>
      </c>
      <c r="Z261" s="423" t="s">
        <v>110</v>
      </c>
    </row>
    <row r="262" spans="1:26" ht="11.25">
      <c r="A262" s="172"/>
      <c r="B262" s="172"/>
      <c r="C262" s="210">
        <f>C260*14%/2</f>
        <v>917.18507965</v>
      </c>
      <c r="D262" s="172"/>
      <c r="E262" s="172"/>
      <c r="F262" s="210">
        <f>F260*14%/2</f>
        <v>814.6504219630001</v>
      </c>
      <c r="G262" s="210"/>
      <c r="H262" s="172"/>
      <c r="I262" s="172"/>
      <c r="J262" s="172"/>
      <c r="K262" s="172"/>
      <c r="L262" s="172"/>
      <c r="M262" s="172"/>
      <c r="N262" s="172"/>
      <c r="O262" s="172"/>
      <c r="P262" s="172"/>
      <c r="Q262" s="172"/>
      <c r="R262" s="172"/>
      <c r="S262" s="172"/>
      <c r="T262" s="172"/>
      <c r="U262" s="172"/>
      <c r="V262" s="172"/>
      <c r="W262" s="172"/>
      <c r="X262" s="172"/>
      <c r="Y262" s="219">
        <f>+Y255-26.79</f>
        <v>-3136.5454354751396</v>
      </c>
      <c r="Z262" s="219" t="s">
        <v>12</v>
      </c>
    </row>
    <row r="263" spans="1:26" ht="11.25">
      <c r="A263" s="172"/>
      <c r="B263" s="172"/>
      <c r="C263" s="210"/>
      <c r="D263" s="210"/>
      <c r="E263" s="210"/>
      <c r="F263" s="210"/>
      <c r="G263" s="210"/>
      <c r="H263" s="210"/>
      <c r="I263" s="210"/>
      <c r="J263" s="210"/>
      <c r="K263" s="210"/>
      <c r="L263" s="210"/>
      <c r="M263" s="210"/>
      <c r="N263" s="210"/>
      <c r="O263" s="210"/>
      <c r="P263" s="210"/>
      <c r="Q263" s="210"/>
      <c r="R263" s="210"/>
      <c r="S263" s="210"/>
      <c r="T263" s="210"/>
      <c r="U263" s="210"/>
      <c r="V263" s="210"/>
      <c r="W263" s="210"/>
      <c r="X263" s="210"/>
      <c r="Y263" s="210"/>
      <c r="Z263" s="210"/>
    </row>
    <row r="264" spans="1:26" ht="11.25">
      <c r="A264" s="172"/>
      <c r="B264" s="172" t="s">
        <v>16</v>
      </c>
      <c r="C264" s="210">
        <f aca="true" t="shared" si="46" ref="C264:I264">C260*14.38%/2</f>
        <v>942.0801032405</v>
      </c>
      <c r="D264" s="210">
        <f t="shared" si="46"/>
        <v>407.63015445207003</v>
      </c>
      <c r="E264" s="210">
        <f t="shared" si="46"/>
        <v>48.30864231947</v>
      </c>
      <c r="F264" s="210">
        <f t="shared" si="46"/>
        <v>836.76236198771</v>
      </c>
      <c r="G264" s="210"/>
      <c r="H264" s="210">
        <f t="shared" si="46"/>
        <v>20.710122979460003</v>
      </c>
      <c r="I264" s="210">
        <f t="shared" si="46"/>
        <v>14.023830932870004</v>
      </c>
      <c r="J264" s="210"/>
      <c r="K264" s="210"/>
      <c r="L264" s="210"/>
      <c r="M264" s="210"/>
      <c r="N264" s="210"/>
      <c r="O264" s="210"/>
      <c r="P264" s="210"/>
      <c r="Q264" s="210"/>
      <c r="R264" s="210"/>
      <c r="S264" s="210"/>
      <c r="T264" s="210" t="e">
        <f>T260*14.38%/2</f>
        <v>#REF!</v>
      </c>
      <c r="U264" s="210">
        <f>U260*14.38%/2</f>
        <v>0</v>
      </c>
      <c r="V264" s="210">
        <f>V260*14.38%/2</f>
        <v>0</v>
      </c>
      <c r="W264" s="210">
        <f>W260*14.38%/2</f>
        <v>289.971981</v>
      </c>
      <c r="X264" s="210">
        <f>X260*14.38%/2</f>
        <v>1481.2349080000001</v>
      </c>
      <c r="Y264" s="210" t="e">
        <f>1121.58-(SUM(C264:X264)-T264)</f>
        <v>#REF!</v>
      </c>
      <c r="Z264" s="188" t="e">
        <f>SUM(C264:Y264)-T264</f>
        <v>#REF!</v>
      </c>
    </row>
    <row r="265" spans="1:26" ht="11.25">
      <c r="A265" s="172"/>
      <c r="B265" s="172"/>
      <c r="C265" s="210"/>
      <c r="D265" s="210"/>
      <c r="E265" s="210"/>
      <c r="F265" s="210"/>
      <c r="G265" s="210"/>
      <c r="H265" s="210"/>
      <c r="I265" s="210"/>
      <c r="J265" s="210"/>
      <c r="K265" s="210"/>
      <c r="L265" s="210"/>
      <c r="M265" s="210"/>
      <c r="N265" s="210"/>
      <c r="O265" s="210"/>
      <c r="P265" s="210"/>
      <c r="Q265" s="210"/>
      <c r="R265" s="210"/>
      <c r="S265" s="210"/>
      <c r="T265" s="210"/>
      <c r="U265" s="210"/>
      <c r="V265" s="210"/>
      <c r="W265" s="210"/>
      <c r="X265" s="210"/>
      <c r="Y265" s="210"/>
      <c r="Z265" s="210"/>
    </row>
    <row r="266" spans="1:26" ht="11.25">
      <c r="A266" s="172"/>
      <c r="B266" s="172"/>
      <c r="C266" s="210" t="s">
        <v>12</v>
      </c>
      <c r="D266" s="210"/>
      <c r="E266" s="210"/>
      <c r="F266" s="210"/>
      <c r="G266" s="210"/>
      <c r="H266" s="210"/>
      <c r="I266" s="210"/>
      <c r="J266" s="210"/>
      <c r="K266" s="210"/>
      <c r="L266" s="210"/>
      <c r="M266" s="210"/>
      <c r="N266" s="210"/>
      <c r="O266" s="210"/>
      <c r="P266" s="210"/>
      <c r="Q266" s="210"/>
      <c r="R266" s="210"/>
      <c r="S266" s="210"/>
      <c r="T266" s="210"/>
      <c r="U266" s="210"/>
      <c r="V266" s="210"/>
      <c r="W266" s="210"/>
      <c r="X266" s="210" t="s">
        <v>198</v>
      </c>
      <c r="Y266" s="424">
        <v>24.09</v>
      </c>
      <c r="Z266" s="210" t="s">
        <v>200</v>
      </c>
    </row>
    <row r="267" spans="1:26" ht="11.25">
      <c r="A267" s="172"/>
      <c r="B267" s="172"/>
      <c r="C267" s="210"/>
      <c r="D267" s="210"/>
      <c r="E267" s="210"/>
      <c r="F267" s="210"/>
      <c r="G267" s="210"/>
      <c r="H267" s="210" t="s">
        <v>12</v>
      </c>
      <c r="I267" s="210" t="s">
        <v>12</v>
      </c>
      <c r="J267" s="210"/>
      <c r="K267" s="210"/>
      <c r="L267" s="210"/>
      <c r="M267" s="210"/>
      <c r="N267" s="210"/>
      <c r="O267" s="210"/>
      <c r="P267" s="210"/>
      <c r="Q267" s="210"/>
      <c r="R267" s="210"/>
      <c r="S267" s="210"/>
      <c r="T267" s="210"/>
      <c r="U267" s="210" t="s">
        <v>12</v>
      </c>
      <c r="V267" s="210"/>
      <c r="W267" s="210"/>
      <c r="X267" s="210"/>
      <c r="Y267" s="210" t="s">
        <v>12</v>
      </c>
      <c r="Z267" s="210"/>
    </row>
    <row r="268" spans="1:26" ht="11.25">
      <c r="A268" s="172"/>
      <c r="B268" s="172"/>
      <c r="C268" s="210" t="s">
        <v>12</v>
      </c>
      <c r="D268" s="210"/>
      <c r="E268" s="210"/>
      <c r="F268" s="210"/>
      <c r="G268" s="210"/>
      <c r="H268" s="210"/>
      <c r="I268" s="210" t="s">
        <v>12</v>
      </c>
      <c r="J268" s="210"/>
      <c r="K268" s="210"/>
      <c r="L268" s="210"/>
      <c r="M268" s="210"/>
      <c r="N268" s="210"/>
      <c r="O268" s="210"/>
      <c r="P268" s="210"/>
      <c r="Q268" s="210"/>
      <c r="R268" s="210"/>
      <c r="S268" s="210"/>
      <c r="T268" s="210"/>
      <c r="U268" s="210" t="s">
        <v>12</v>
      </c>
      <c r="V268" s="210"/>
      <c r="W268" s="210"/>
      <c r="X268" s="210"/>
      <c r="Y268" s="210">
        <v>2075.26</v>
      </c>
      <c r="Z268" s="210"/>
    </row>
    <row r="269" spans="1:26" ht="11.25">
      <c r="A269" s="172"/>
      <c r="B269" s="172"/>
      <c r="C269" s="210" t="s">
        <v>12</v>
      </c>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10">
        <f>+Y268+Y250</f>
        <v>-1034.4954354751394</v>
      </c>
      <c r="Z269" s="210" t="s">
        <v>12</v>
      </c>
    </row>
    <row r="270" spans="1:26" ht="11.25">
      <c r="A270" s="172"/>
      <c r="B270" s="172"/>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row>
    <row r="271" spans="1:26" ht="11.25">
      <c r="A271" s="425"/>
      <c r="B271" s="425"/>
      <c r="C271" s="425">
        <v>1833.76</v>
      </c>
      <c r="D271" s="425">
        <v>-208.25</v>
      </c>
      <c r="E271" s="425">
        <v>-13.93</v>
      </c>
      <c r="F271" s="425">
        <v>572.52</v>
      </c>
      <c r="G271" s="425"/>
      <c r="H271" s="425">
        <v>128.08</v>
      </c>
      <c r="I271" s="425">
        <v>42.22</v>
      </c>
      <c r="J271" s="425">
        <v>17.36</v>
      </c>
      <c r="K271" s="425">
        <v>-28.66</v>
      </c>
      <c r="L271" s="425">
        <v>-4.3</v>
      </c>
      <c r="M271" s="425">
        <v>-3.71</v>
      </c>
      <c r="N271" s="425">
        <v>5.84</v>
      </c>
      <c r="O271" s="425">
        <v>20.56</v>
      </c>
      <c r="P271" s="425">
        <v>14.43</v>
      </c>
      <c r="Q271" s="425">
        <v>62.86</v>
      </c>
      <c r="R271" s="425"/>
      <c r="S271" s="425"/>
      <c r="T271" s="425"/>
      <c r="U271" s="425">
        <v>268.84</v>
      </c>
      <c r="V271" s="425">
        <v>191</v>
      </c>
      <c r="W271" s="425"/>
      <c r="X271" s="425"/>
      <c r="Y271" s="425">
        <f>-2901.74+23.47</f>
        <v>-2878.27</v>
      </c>
      <c r="Z271" s="425"/>
    </row>
    <row r="272" spans="1:26" ht="11.25">
      <c r="A272" s="535"/>
      <c r="B272" s="535"/>
      <c r="C272" s="535"/>
      <c r="D272" s="535"/>
      <c r="E272" s="535"/>
      <c r="F272" s="535"/>
      <c r="G272" s="535"/>
      <c r="H272" s="535"/>
      <c r="I272" s="535"/>
      <c r="J272" s="535"/>
      <c r="K272" s="535"/>
      <c r="L272" s="535"/>
      <c r="M272" s="535"/>
      <c r="N272" s="535"/>
      <c r="O272" s="535"/>
      <c r="P272" s="535"/>
      <c r="Q272" s="535"/>
      <c r="R272" s="535"/>
      <c r="S272" s="535"/>
      <c r="T272" s="535"/>
      <c r="U272" s="535"/>
      <c r="V272" s="535"/>
      <c r="W272" s="535"/>
      <c r="X272" s="535"/>
      <c r="Y272" s="535"/>
      <c r="Z272" s="535"/>
    </row>
    <row r="273" spans="1:26" ht="11.25">
      <c r="A273" s="426"/>
      <c r="B273" s="426"/>
      <c r="C273" s="426"/>
      <c r="D273" s="426"/>
      <c r="E273" s="426"/>
      <c r="F273" s="426"/>
      <c r="G273" s="426"/>
      <c r="H273" s="426"/>
      <c r="I273" s="426"/>
      <c r="J273" s="426"/>
      <c r="K273" s="426"/>
      <c r="L273" s="426"/>
      <c r="M273" s="426"/>
      <c r="N273" s="426"/>
      <c r="O273" s="426"/>
      <c r="P273" s="426"/>
      <c r="Q273" s="426"/>
      <c r="R273" s="426"/>
      <c r="S273" s="426"/>
      <c r="T273" s="426"/>
      <c r="U273" s="426"/>
      <c r="V273" s="426"/>
      <c r="W273" s="426"/>
      <c r="X273" s="426"/>
      <c r="Y273" s="426"/>
      <c r="Z273" s="426"/>
    </row>
    <row r="274" spans="1:26" ht="11.25">
      <c r="A274" s="427" t="s">
        <v>12</v>
      </c>
      <c r="B274" s="427"/>
      <c r="C274" s="68">
        <v>864.11</v>
      </c>
      <c r="D274" s="68">
        <v>0.02</v>
      </c>
      <c r="E274" s="68">
        <v>0</v>
      </c>
      <c r="F274" s="68">
        <v>226.51</v>
      </c>
      <c r="G274" s="68"/>
      <c r="H274" s="68">
        <v>0</v>
      </c>
      <c r="I274" s="68">
        <v>0</v>
      </c>
      <c r="J274" s="68">
        <v>7.54</v>
      </c>
      <c r="K274" s="68"/>
      <c r="L274" s="68"/>
      <c r="M274" s="68"/>
      <c r="N274" s="68"/>
      <c r="O274" s="68"/>
      <c r="P274" s="68"/>
      <c r="Q274" s="68"/>
      <c r="R274" s="68"/>
      <c r="S274" s="68"/>
      <c r="T274" s="68">
        <f>SUM(K274:Q274)</f>
        <v>0</v>
      </c>
      <c r="U274" s="68">
        <v>3.92</v>
      </c>
      <c r="V274" s="68"/>
      <c r="W274" s="68"/>
      <c r="X274" s="68">
        <v>0</v>
      </c>
      <c r="Y274" s="68">
        <f>3867.65+0.02</f>
        <v>3867.67</v>
      </c>
      <c r="Z274" s="188">
        <f>SUM(C274:Y274)-T274</f>
        <v>4969.77</v>
      </c>
    </row>
    <row r="275" spans="1:26" ht="11.25">
      <c r="A275" s="427"/>
      <c r="B275" s="427"/>
      <c r="C275" s="191" t="s">
        <v>313</v>
      </c>
      <c r="D275" s="191" t="s">
        <v>313</v>
      </c>
      <c r="E275" s="191" t="s">
        <v>313</v>
      </c>
      <c r="F275" s="191" t="s">
        <v>313</v>
      </c>
      <c r="G275" s="191"/>
      <c r="H275" s="191" t="s">
        <v>314</v>
      </c>
      <c r="I275" s="191" t="s">
        <v>314</v>
      </c>
      <c r="J275" s="191" t="s">
        <v>314</v>
      </c>
      <c r="K275" s="191"/>
      <c r="L275" s="191" t="s">
        <v>314</v>
      </c>
      <c r="M275" s="191"/>
      <c r="N275" s="191" t="s">
        <v>314</v>
      </c>
      <c r="O275" s="191" t="s">
        <v>313</v>
      </c>
      <c r="P275" s="191" t="s">
        <v>313</v>
      </c>
      <c r="Q275" s="191" t="s">
        <v>313</v>
      </c>
      <c r="R275" s="191"/>
      <c r="S275" s="191"/>
      <c r="T275" s="191" t="s">
        <v>313</v>
      </c>
      <c r="U275" s="191" t="s">
        <v>314</v>
      </c>
      <c r="V275" s="191" t="s">
        <v>314</v>
      </c>
      <c r="W275" s="191"/>
      <c r="X275" s="191"/>
      <c r="Y275" s="191"/>
      <c r="Z275" s="191" t="s">
        <v>12</v>
      </c>
    </row>
    <row r="276" spans="1:26" ht="11.25">
      <c r="A276" s="427"/>
      <c r="B276" s="427"/>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72" t="s">
        <v>290</v>
      </c>
      <c r="Z276" s="210">
        <f>'MARCH -15 final result'!H149</f>
        <v>0</v>
      </c>
    </row>
  </sheetData>
  <mergeCells count="15">
    <mergeCell ref="A232:A233"/>
    <mergeCell ref="B232:B233"/>
    <mergeCell ref="A272:Z272"/>
    <mergeCell ref="A93:Z93"/>
    <mergeCell ref="A97:A98"/>
    <mergeCell ref="B97:B98"/>
    <mergeCell ref="A228:Z228"/>
    <mergeCell ref="A54:Z54"/>
    <mergeCell ref="A59:A60"/>
    <mergeCell ref="B59:B60"/>
    <mergeCell ref="A92:Z92"/>
    <mergeCell ref="A4:Z4"/>
    <mergeCell ref="A8:A9"/>
    <mergeCell ref="B8:B9"/>
    <mergeCell ref="A48:Z48"/>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P164"/>
  <sheetViews>
    <sheetView zoomScale="75" zoomScaleNormal="75" zoomScalePageLayoutView="0" workbookViewId="0" topLeftCell="A1">
      <selection activeCell="A4" sqref="A4:I4"/>
    </sheetView>
  </sheetViews>
  <sheetFormatPr defaultColWidth="9.140625" defaultRowHeight="12.75"/>
  <cols>
    <col min="1" max="1" width="4.7109375" style="0" customWidth="1"/>
    <col min="2" max="2" width="47.140625" style="0" customWidth="1"/>
    <col min="3" max="4" width="16.421875" style="0" hidden="1" customWidth="1"/>
    <col min="5" max="5" width="12.7109375" style="0" customWidth="1"/>
    <col min="6" max="6" width="13.7109375" style="0" customWidth="1"/>
    <col min="7" max="7" width="14.140625" style="0" customWidth="1"/>
    <col min="8" max="8" width="12.57421875" style="0" customWidth="1"/>
    <col min="9" max="9" width="17.421875" style="0" customWidth="1"/>
    <col min="10" max="10" width="15.00390625" style="0" customWidth="1"/>
    <col min="11" max="11" width="16.28125" style="0" bestFit="1" customWidth="1"/>
    <col min="12" max="12" width="19.7109375" style="0" bestFit="1" customWidth="1"/>
    <col min="13" max="13" width="11.28125" style="0" customWidth="1"/>
    <col min="14" max="14" width="12.57421875" style="0" customWidth="1"/>
  </cols>
  <sheetData>
    <row r="1" spans="1:10" ht="25.5">
      <c r="A1" s="565" t="s">
        <v>11</v>
      </c>
      <c r="B1" s="565"/>
      <c r="C1" s="565"/>
      <c r="D1" s="565"/>
      <c r="E1" s="565"/>
      <c r="F1" s="565"/>
      <c r="G1" s="565"/>
      <c r="H1" s="565"/>
      <c r="I1" s="565"/>
      <c r="J1" s="152"/>
    </row>
    <row r="2" spans="1:10" ht="15">
      <c r="A2" s="566" t="s">
        <v>20</v>
      </c>
      <c r="B2" s="567"/>
      <c r="C2" s="567"/>
      <c r="D2" s="567"/>
      <c r="E2" s="567"/>
      <c r="F2" s="567"/>
      <c r="G2" s="567"/>
      <c r="H2" s="567"/>
      <c r="I2" s="567"/>
      <c r="J2" s="86"/>
    </row>
    <row r="3" ht="14.25">
      <c r="A3" s="4"/>
    </row>
    <row r="4" spans="1:16" ht="27.75" customHeight="1">
      <c r="A4" s="569" t="s">
        <v>203</v>
      </c>
      <c r="B4" s="570"/>
      <c r="C4" s="570"/>
      <c r="D4" s="570"/>
      <c r="E4" s="570"/>
      <c r="F4" s="570"/>
      <c r="G4" s="570"/>
      <c r="H4" s="570"/>
      <c r="I4" s="570"/>
      <c r="J4" s="169"/>
      <c r="K4" s="169"/>
      <c r="L4" s="169"/>
      <c r="M4" s="169"/>
      <c r="N4" s="169"/>
      <c r="O4" s="169"/>
      <c r="P4" s="169"/>
    </row>
    <row r="5" spans="1:10" ht="15">
      <c r="A5" s="4"/>
      <c r="B5" s="20"/>
      <c r="C5" s="4"/>
      <c r="D5" s="4"/>
      <c r="E5" s="4"/>
      <c r="F5" s="4"/>
      <c r="G5" s="4"/>
      <c r="H5" s="4"/>
      <c r="I5" s="173" t="s">
        <v>30</v>
      </c>
      <c r="J5" s="153"/>
    </row>
    <row r="6" spans="1:10" ht="15">
      <c r="A6" s="573" t="s">
        <v>170</v>
      </c>
      <c r="B6" s="174"/>
      <c r="C6" s="568" t="s">
        <v>160</v>
      </c>
      <c r="D6" s="563"/>
      <c r="E6" s="563"/>
      <c r="F6" s="563"/>
      <c r="G6" s="563"/>
      <c r="H6" s="563"/>
      <c r="I6" s="564"/>
      <c r="J6" s="96"/>
    </row>
    <row r="7" spans="1:10" ht="15" customHeight="1">
      <c r="A7" s="555"/>
      <c r="B7" s="176" t="s">
        <v>31</v>
      </c>
      <c r="C7" s="563" t="s">
        <v>32</v>
      </c>
      <c r="D7" s="564"/>
      <c r="E7" s="563" t="s">
        <v>32</v>
      </c>
      <c r="F7" s="564"/>
      <c r="G7" s="571" t="s">
        <v>194</v>
      </c>
      <c r="H7" s="572"/>
      <c r="I7" s="175" t="s">
        <v>45</v>
      </c>
      <c r="J7" s="96"/>
    </row>
    <row r="8" spans="1:12" ht="13.5" customHeight="1">
      <c r="A8" s="555"/>
      <c r="B8" s="176"/>
      <c r="C8" s="538" t="s">
        <v>177</v>
      </c>
      <c r="D8" s="538" t="s">
        <v>178</v>
      </c>
      <c r="E8" s="7" t="s">
        <v>193</v>
      </c>
      <c r="F8" s="7" t="s">
        <v>193</v>
      </c>
      <c r="G8" s="7" t="s">
        <v>193</v>
      </c>
      <c r="H8" s="7" t="s">
        <v>193</v>
      </c>
      <c r="I8" s="562" t="s">
        <v>181</v>
      </c>
      <c r="J8" s="154"/>
      <c r="L8" t="s">
        <v>12</v>
      </c>
    </row>
    <row r="9" spans="1:10" ht="15.75">
      <c r="A9" s="555"/>
      <c r="B9" s="176"/>
      <c r="C9" s="539"/>
      <c r="D9" s="539"/>
      <c r="E9" s="6">
        <v>2011</v>
      </c>
      <c r="F9" s="6">
        <v>2010</v>
      </c>
      <c r="G9" s="6">
        <v>2011</v>
      </c>
      <c r="H9" s="6">
        <v>2010</v>
      </c>
      <c r="I9" s="547"/>
      <c r="J9" s="96"/>
    </row>
    <row r="10" spans="1:10" ht="33.75" customHeight="1">
      <c r="A10" s="556"/>
      <c r="B10" s="178"/>
      <c r="C10" s="185" t="s">
        <v>76</v>
      </c>
      <c r="D10" s="179" t="s">
        <v>76</v>
      </c>
      <c r="E10" s="185" t="s">
        <v>76</v>
      </c>
      <c r="F10" s="179" t="s">
        <v>76</v>
      </c>
      <c r="G10" s="185" t="s">
        <v>76</v>
      </c>
      <c r="H10" s="131" t="s">
        <v>76</v>
      </c>
      <c r="I10" s="179" t="s">
        <v>33</v>
      </c>
      <c r="J10" s="155"/>
    </row>
    <row r="11" spans="1:12" ht="19.5" customHeight="1">
      <c r="A11" s="97">
        <v>1</v>
      </c>
      <c r="B11" s="114" t="s">
        <v>63</v>
      </c>
      <c r="C11" s="115">
        <v>3184.67</v>
      </c>
      <c r="D11" s="115">
        <v>2797.24</v>
      </c>
      <c r="E11" s="115">
        <f>G11-C11</f>
        <v>3051.49</v>
      </c>
      <c r="F11" s="115">
        <f>H11-D11</f>
        <v>2903.12</v>
      </c>
      <c r="G11" s="115">
        <v>6236.16</v>
      </c>
      <c r="H11" s="115">
        <v>5700.36</v>
      </c>
      <c r="I11" s="115">
        <v>12092</v>
      </c>
      <c r="J11" s="156"/>
      <c r="K11" s="8" t="s">
        <v>12</v>
      </c>
      <c r="L11" s="1" t="s">
        <v>12</v>
      </c>
    </row>
    <row r="12" spans="1:12" ht="19.5" customHeight="1">
      <c r="A12" s="116" t="s">
        <v>12</v>
      </c>
      <c r="B12" s="114" t="s">
        <v>64</v>
      </c>
      <c r="C12" s="115">
        <v>182.43</v>
      </c>
      <c r="D12" s="115">
        <f>160.41+50</f>
        <v>210.41</v>
      </c>
      <c r="E12" s="115">
        <f>G12-C12</f>
        <v>281.21</v>
      </c>
      <c r="F12" s="115">
        <f>H12-D12</f>
        <v>-30.69999999999999</v>
      </c>
      <c r="G12" s="115">
        <v>463.64</v>
      </c>
      <c r="H12" s="115">
        <v>179.71</v>
      </c>
      <c r="I12" s="115">
        <v>678.7</v>
      </c>
      <c r="J12" s="156"/>
      <c r="K12" s="9" t="s">
        <v>12</v>
      </c>
      <c r="L12" s="1"/>
    </row>
    <row r="13" spans="1:12" ht="19.5" customHeight="1">
      <c r="A13" s="97"/>
      <c r="B13" s="183" t="s">
        <v>72</v>
      </c>
      <c r="C13" s="117">
        <f aca="true" t="shared" si="0" ref="C13:I13">SUM(C11:C12)</f>
        <v>3367.1</v>
      </c>
      <c r="D13" s="117">
        <f t="shared" si="0"/>
        <v>3007.6499999999996</v>
      </c>
      <c r="E13" s="117">
        <f t="shared" si="0"/>
        <v>3332.7</v>
      </c>
      <c r="F13" s="117">
        <f t="shared" si="0"/>
        <v>2872.42</v>
      </c>
      <c r="G13" s="117">
        <f t="shared" si="0"/>
        <v>6699.8</v>
      </c>
      <c r="H13" s="117">
        <f t="shared" si="0"/>
        <v>5880.07</v>
      </c>
      <c r="I13" s="117">
        <f t="shared" si="0"/>
        <v>12770.7</v>
      </c>
      <c r="J13" s="145"/>
      <c r="K13" s="17"/>
      <c r="L13" s="17" t="s">
        <v>12</v>
      </c>
    </row>
    <row r="14" spans="1:12" ht="19.5" customHeight="1">
      <c r="A14" s="97">
        <v>2</v>
      </c>
      <c r="B14" s="114" t="s">
        <v>58</v>
      </c>
      <c r="C14" s="117"/>
      <c r="D14" s="117"/>
      <c r="E14" s="117"/>
      <c r="F14" s="117"/>
      <c r="G14" s="117"/>
      <c r="H14" s="117"/>
      <c r="I14" s="117"/>
      <c r="J14" s="145"/>
      <c r="K14" s="1"/>
      <c r="L14" s="1"/>
    </row>
    <row r="15" spans="1:13" ht="19.5" customHeight="1">
      <c r="A15" s="116"/>
      <c r="B15" s="114" t="s">
        <v>35</v>
      </c>
      <c r="C15" s="115">
        <v>393.16</v>
      </c>
      <c r="D15" s="115">
        <v>273.45</v>
      </c>
      <c r="E15" s="115">
        <f aca="true" t="shared" si="1" ref="E15:F19">G15-C15</f>
        <v>341.07</v>
      </c>
      <c r="F15" s="115">
        <f t="shared" si="1"/>
        <v>261.7</v>
      </c>
      <c r="G15" s="115">
        <v>734.23</v>
      </c>
      <c r="H15" s="115">
        <v>535.15</v>
      </c>
      <c r="I15" s="115">
        <v>1224.84</v>
      </c>
      <c r="K15" s="17"/>
      <c r="L15" s="17"/>
      <c r="M15" s="146"/>
    </row>
    <row r="16" spans="1:13" ht="19.5" customHeight="1">
      <c r="A16" s="116"/>
      <c r="B16" s="114" t="s">
        <v>59</v>
      </c>
      <c r="C16" s="115">
        <v>838.39</v>
      </c>
      <c r="D16" s="115">
        <v>707.77</v>
      </c>
      <c r="E16" s="115">
        <f t="shared" si="1"/>
        <v>872.9699999999999</v>
      </c>
      <c r="F16" s="115">
        <f t="shared" si="1"/>
        <v>675.1300000000001</v>
      </c>
      <c r="G16" s="115">
        <v>1711.36</v>
      </c>
      <c r="H16" s="115">
        <v>1382.9</v>
      </c>
      <c r="I16" s="115">
        <v>3013.84</v>
      </c>
      <c r="K16" s="17"/>
      <c r="L16" s="17"/>
      <c r="M16" s="146"/>
    </row>
    <row r="17" spans="1:13" ht="19.5" customHeight="1">
      <c r="A17" s="116"/>
      <c r="B17" s="114" t="s">
        <v>36</v>
      </c>
      <c r="C17" s="115">
        <v>338.29</v>
      </c>
      <c r="D17" s="115">
        <v>274.7</v>
      </c>
      <c r="E17" s="115">
        <f t="shared" si="1"/>
        <v>329.43</v>
      </c>
      <c r="F17" s="115">
        <f t="shared" si="1"/>
        <v>249.41000000000003</v>
      </c>
      <c r="G17" s="115">
        <v>667.72</v>
      </c>
      <c r="H17" s="115">
        <v>524.11</v>
      </c>
      <c r="I17" s="115">
        <v>1100.29</v>
      </c>
      <c r="K17" s="1"/>
      <c r="L17" s="17"/>
      <c r="M17" s="146"/>
    </row>
    <row r="18" spans="1:13" ht="19.5" customHeight="1">
      <c r="A18" s="116"/>
      <c r="B18" s="114" t="s">
        <v>57</v>
      </c>
      <c r="C18" s="115">
        <v>399.44</v>
      </c>
      <c r="D18" s="115">
        <v>369</v>
      </c>
      <c r="E18" s="115">
        <f t="shared" si="1"/>
        <v>399.63000000000005</v>
      </c>
      <c r="F18" s="115">
        <f t="shared" si="1"/>
        <v>369.70000000000005</v>
      </c>
      <c r="G18" s="115">
        <v>799.07</v>
      </c>
      <c r="H18" s="115">
        <v>738.7</v>
      </c>
      <c r="I18" s="115">
        <v>1505.92</v>
      </c>
      <c r="K18" s="17"/>
      <c r="L18" s="17"/>
      <c r="M18" s="146"/>
    </row>
    <row r="19" spans="1:13" ht="19.5" customHeight="1">
      <c r="A19" s="119"/>
      <c r="B19" s="120" t="s">
        <v>75</v>
      </c>
      <c r="C19" s="115">
        <v>878.23</v>
      </c>
      <c r="D19" s="121">
        <v>776.22</v>
      </c>
      <c r="E19" s="115">
        <f t="shared" si="1"/>
        <v>939.0999999999999</v>
      </c>
      <c r="F19" s="115">
        <f t="shared" si="1"/>
        <v>808.5799999999999</v>
      </c>
      <c r="G19" s="121">
        <v>1817.33</v>
      </c>
      <c r="H19" s="121">
        <v>1584.8</v>
      </c>
      <c r="I19" s="121">
        <v>3590.87</v>
      </c>
      <c r="K19" s="27"/>
      <c r="L19" s="17"/>
      <c r="M19" s="146"/>
    </row>
    <row r="20" spans="1:13" ht="19.5" customHeight="1">
      <c r="A20" s="116"/>
      <c r="B20" s="184" t="s">
        <v>34</v>
      </c>
      <c r="C20" s="117">
        <f aca="true" t="shared" si="2" ref="C20:I20">SUM(C15:C19)</f>
        <v>2847.51</v>
      </c>
      <c r="D20" s="117">
        <f t="shared" si="2"/>
        <v>2401.1400000000003</v>
      </c>
      <c r="E20" s="117">
        <f t="shared" si="2"/>
        <v>2882.2</v>
      </c>
      <c r="F20" s="117">
        <f t="shared" si="2"/>
        <v>2364.5200000000004</v>
      </c>
      <c r="G20" s="117">
        <f t="shared" si="2"/>
        <v>5729.710000000001</v>
      </c>
      <c r="H20" s="117">
        <f t="shared" si="2"/>
        <v>4765.660000000001</v>
      </c>
      <c r="I20" s="117">
        <f t="shared" si="2"/>
        <v>10435.76</v>
      </c>
      <c r="J20" s="145"/>
      <c r="K20" s="27"/>
      <c r="L20" s="17"/>
      <c r="M20" s="17"/>
    </row>
    <row r="21" spans="1:13" ht="33" customHeight="1">
      <c r="A21" s="97">
        <v>3</v>
      </c>
      <c r="B21" s="123" t="s">
        <v>70</v>
      </c>
      <c r="C21" s="117">
        <f aca="true" t="shared" si="3" ref="C21:I21">+C13-C20</f>
        <v>519.5899999999997</v>
      </c>
      <c r="D21" s="117">
        <f t="shared" si="3"/>
        <v>606.5099999999993</v>
      </c>
      <c r="E21" s="117">
        <f t="shared" si="3"/>
        <v>450.5</v>
      </c>
      <c r="F21" s="117">
        <f t="shared" si="3"/>
        <v>507.89999999999964</v>
      </c>
      <c r="G21" s="117">
        <f t="shared" si="3"/>
        <v>970.0899999999992</v>
      </c>
      <c r="H21" s="117">
        <f t="shared" si="3"/>
        <v>1114.409999999999</v>
      </c>
      <c r="I21" s="117">
        <f t="shared" si="3"/>
        <v>2334.9400000000005</v>
      </c>
      <c r="J21" s="145"/>
      <c r="K21" s="17"/>
      <c r="L21" s="17"/>
      <c r="M21" s="27"/>
    </row>
    <row r="22" spans="1:12" ht="33" customHeight="1">
      <c r="A22" s="97">
        <v>4</v>
      </c>
      <c r="B22" s="105" t="s">
        <v>14</v>
      </c>
      <c r="C22" s="115">
        <v>21.37</v>
      </c>
      <c r="D22" s="115">
        <f>73.2-50</f>
        <v>23.200000000000003</v>
      </c>
      <c r="E22" s="115">
        <f>G22-C22</f>
        <v>44.209999999999994</v>
      </c>
      <c r="F22" s="115">
        <f>H22-D22</f>
        <v>10.93</v>
      </c>
      <c r="G22" s="115">
        <v>65.58</v>
      </c>
      <c r="H22" s="115">
        <v>34.13</v>
      </c>
      <c r="I22" s="124">
        <v>125.75</v>
      </c>
      <c r="J22" s="157"/>
      <c r="K22" s="17"/>
      <c r="L22" s="17"/>
    </row>
    <row r="23" spans="1:12" ht="33" customHeight="1">
      <c r="A23" s="97">
        <v>5</v>
      </c>
      <c r="B23" s="123" t="s">
        <v>65</v>
      </c>
      <c r="C23" s="117">
        <f aca="true" t="shared" si="4" ref="C23:I23">C21+C22</f>
        <v>540.9599999999997</v>
      </c>
      <c r="D23" s="117">
        <f t="shared" si="4"/>
        <v>629.7099999999994</v>
      </c>
      <c r="E23" s="117">
        <f t="shared" si="4"/>
        <v>494.71</v>
      </c>
      <c r="F23" s="117">
        <f t="shared" si="4"/>
        <v>518.8299999999996</v>
      </c>
      <c r="G23" s="117">
        <f t="shared" si="4"/>
        <v>1035.6699999999992</v>
      </c>
      <c r="H23" s="117">
        <f t="shared" si="4"/>
        <v>1148.539999999999</v>
      </c>
      <c r="I23" s="117">
        <f t="shared" si="4"/>
        <v>2460.6900000000005</v>
      </c>
      <c r="J23" s="145"/>
      <c r="K23" s="1"/>
      <c r="L23" s="17"/>
    </row>
    <row r="24" spans="1:12" ht="19.5" customHeight="1">
      <c r="A24" s="97">
        <v>6</v>
      </c>
      <c r="B24" s="122" t="s">
        <v>1</v>
      </c>
      <c r="C24" s="115">
        <v>1141.96</v>
      </c>
      <c r="D24" s="115">
        <v>934.38</v>
      </c>
      <c r="E24" s="115">
        <f>G24-C24</f>
        <v>1296.4699999999998</v>
      </c>
      <c r="F24" s="115">
        <f>H24-D24</f>
        <v>917.62</v>
      </c>
      <c r="G24" s="115">
        <v>2438.43</v>
      </c>
      <c r="H24" s="115">
        <v>1852</v>
      </c>
      <c r="I24" s="115">
        <v>3722.39</v>
      </c>
      <c r="J24" s="156"/>
      <c r="K24" s="17"/>
      <c r="L24" s="17"/>
    </row>
    <row r="25" spans="1:12" ht="33.75" customHeight="1">
      <c r="A25" s="97">
        <v>7</v>
      </c>
      <c r="B25" s="193" t="s">
        <v>182</v>
      </c>
      <c r="C25" s="117">
        <f aca="true" t="shared" si="5" ref="C25:I25">+C23-C24</f>
        <v>-601.0000000000003</v>
      </c>
      <c r="D25" s="117">
        <f t="shared" si="5"/>
        <v>-304.67000000000064</v>
      </c>
      <c r="E25" s="117">
        <f t="shared" si="5"/>
        <v>-801.7599999999998</v>
      </c>
      <c r="F25" s="117">
        <f t="shared" si="5"/>
        <v>-398.7900000000004</v>
      </c>
      <c r="G25" s="117">
        <f t="shared" si="5"/>
        <v>-1402.7600000000007</v>
      </c>
      <c r="H25" s="117">
        <f t="shared" si="5"/>
        <v>-703.460000000001</v>
      </c>
      <c r="I25" s="117">
        <f t="shared" si="5"/>
        <v>-1261.6999999999994</v>
      </c>
      <c r="J25" s="145"/>
      <c r="K25" s="17"/>
      <c r="L25" s="17"/>
    </row>
    <row r="26" spans="1:12" ht="32.25" customHeight="1">
      <c r="A26" s="97">
        <v>8</v>
      </c>
      <c r="B26" s="104" t="s">
        <v>159</v>
      </c>
      <c r="C26" s="118">
        <v>0</v>
      </c>
      <c r="D26" s="118">
        <v>0</v>
      </c>
      <c r="E26" s="118"/>
      <c r="F26" s="118"/>
      <c r="G26" s="118">
        <v>0</v>
      </c>
      <c r="H26" s="118">
        <v>0</v>
      </c>
      <c r="I26" s="118">
        <v>55.07</v>
      </c>
      <c r="J26" s="156"/>
      <c r="K26" s="17"/>
      <c r="L26" s="1"/>
    </row>
    <row r="27" spans="1:12" ht="32.25" customHeight="1">
      <c r="A27" s="97"/>
      <c r="B27" s="104" t="s">
        <v>10</v>
      </c>
      <c r="C27" s="118">
        <v>0</v>
      </c>
      <c r="D27" s="118">
        <v>0</v>
      </c>
      <c r="E27" s="118"/>
      <c r="F27" s="118"/>
      <c r="G27" s="118">
        <v>0</v>
      </c>
      <c r="H27" s="118">
        <v>0</v>
      </c>
      <c r="I27" s="118">
        <v>19.58</v>
      </c>
      <c r="J27" s="156"/>
      <c r="K27" s="17"/>
      <c r="L27" s="1"/>
    </row>
    <row r="28" spans="1:12" ht="32.25" customHeight="1" hidden="1">
      <c r="A28" s="98"/>
      <c r="B28" s="127" t="s">
        <v>146</v>
      </c>
      <c r="C28" s="126"/>
      <c r="D28" s="126"/>
      <c r="E28" s="126"/>
      <c r="F28" s="126"/>
      <c r="G28" s="126"/>
      <c r="H28" s="126"/>
      <c r="I28" s="125"/>
      <c r="J28" s="156"/>
      <c r="K28" s="17"/>
      <c r="L28" s="1"/>
    </row>
    <row r="29" spans="1:12" ht="32.25" customHeight="1" hidden="1">
      <c r="A29" s="98"/>
      <c r="B29" s="127" t="s">
        <v>147</v>
      </c>
      <c r="C29" s="126"/>
      <c r="D29" s="126"/>
      <c r="E29" s="126"/>
      <c r="F29" s="126"/>
      <c r="G29" s="126"/>
      <c r="H29" s="126"/>
      <c r="I29" s="125"/>
      <c r="J29" s="156"/>
      <c r="K29" s="17"/>
      <c r="L29" s="1"/>
    </row>
    <row r="30" spans="1:12" ht="33.75" customHeight="1">
      <c r="A30" s="98">
        <v>9</v>
      </c>
      <c r="B30" s="194" t="s">
        <v>183</v>
      </c>
      <c r="C30" s="128">
        <f aca="true" t="shared" si="6" ref="C30:I30">+C25+C26-C27</f>
        <v>-601.0000000000003</v>
      </c>
      <c r="D30" s="128">
        <f t="shared" si="6"/>
        <v>-304.67000000000064</v>
      </c>
      <c r="E30" s="128">
        <f t="shared" si="6"/>
        <v>-801.7599999999998</v>
      </c>
      <c r="F30" s="128">
        <f t="shared" si="6"/>
        <v>-398.7900000000004</v>
      </c>
      <c r="G30" s="128">
        <f t="shared" si="6"/>
        <v>-1402.7600000000007</v>
      </c>
      <c r="H30" s="128">
        <f t="shared" si="6"/>
        <v>-703.460000000001</v>
      </c>
      <c r="I30" s="128">
        <f t="shared" si="6"/>
        <v>-1226.2099999999994</v>
      </c>
      <c r="J30" s="145"/>
      <c r="K30" s="17"/>
      <c r="L30" s="17"/>
    </row>
    <row r="31" spans="1:12" ht="19.5" customHeight="1">
      <c r="A31" s="97">
        <v>10</v>
      </c>
      <c r="B31" s="120" t="s">
        <v>96</v>
      </c>
      <c r="C31" s="115"/>
      <c r="D31" s="115"/>
      <c r="E31" s="115"/>
      <c r="F31" s="115"/>
      <c r="G31" s="115"/>
      <c r="H31" s="115"/>
      <c r="I31" s="115"/>
      <c r="J31" s="158"/>
      <c r="K31" s="1"/>
      <c r="L31" s="17"/>
    </row>
    <row r="32" spans="1:12" ht="19.5" customHeight="1">
      <c r="A32" s="97"/>
      <c r="B32" s="129" t="s">
        <v>86</v>
      </c>
      <c r="C32" s="115">
        <v>11.21</v>
      </c>
      <c r="D32" s="115">
        <v>5.31</v>
      </c>
      <c r="E32" s="115">
        <f aca="true" t="shared" si="7" ref="E32:F35">G32-C32</f>
        <v>4.82</v>
      </c>
      <c r="F32" s="115">
        <f t="shared" si="7"/>
        <v>5.64</v>
      </c>
      <c r="G32" s="115">
        <v>16.03</v>
      </c>
      <c r="H32" s="115">
        <v>10.95</v>
      </c>
      <c r="I32" s="118">
        <v>182</v>
      </c>
      <c r="J32" s="156"/>
      <c r="K32" s="1"/>
      <c r="L32" s="1"/>
    </row>
    <row r="33" spans="1:12" ht="19.5" customHeight="1">
      <c r="A33" s="97"/>
      <c r="B33" s="122" t="s">
        <v>37</v>
      </c>
      <c r="C33" s="115">
        <v>-95.04</v>
      </c>
      <c r="D33" s="115">
        <v>1.24</v>
      </c>
      <c r="E33" s="115">
        <f t="shared" si="7"/>
        <v>-118.46999999999998</v>
      </c>
      <c r="F33" s="115">
        <f t="shared" si="7"/>
        <v>1.26</v>
      </c>
      <c r="G33" s="115">
        <v>-213.51</v>
      </c>
      <c r="H33" s="115">
        <v>2.5</v>
      </c>
      <c r="I33" s="118">
        <v>108.94</v>
      </c>
      <c r="J33" s="156"/>
      <c r="K33" s="1"/>
      <c r="L33" s="1"/>
    </row>
    <row r="34" spans="1:13" ht="19.5" customHeight="1">
      <c r="A34" s="97"/>
      <c r="B34" s="122" t="s">
        <v>97</v>
      </c>
      <c r="C34" s="115">
        <v>1.85</v>
      </c>
      <c r="D34" s="115">
        <v>2</v>
      </c>
      <c r="E34" s="115">
        <f t="shared" si="7"/>
        <v>0.6000000000000001</v>
      </c>
      <c r="F34" s="115">
        <f t="shared" si="7"/>
        <v>2</v>
      </c>
      <c r="G34" s="115">
        <v>2.45</v>
      </c>
      <c r="H34" s="115">
        <v>4</v>
      </c>
      <c r="I34" s="118">
        <v>7.4</v>
      </c>
      <c r="J34" s="156"/>
      <c r="K34" s="17"/>
      <c r="L34" s="1"/>
      <c r="M34" s="26"/>
    </row>
    <row r="35" spans="1:13" ht="19.5" customHeight="1">
      <c r="A35" s="97"/>
      <c r="B35" s="130" t="s">
        <v>165</v>
      </c>
      <c r="C35" s="115">
        <v>-0.02</v>
      </c>
      <c r="D35" s="115">
        <v>-5.31</v>
      </c>
      <c r="E35" s="115">
        <f t="shared" si="7"/>
        <v>-0.009999999999999998</v>
      </c>
      <c r="F35" s="115">
        <f t="shared" si="7"/>
        <v>-5.64</v>
      </c>
      <c r="G35" s="115">
        <v>-0.03</v>
      </c>
      <c r="H35" s="115">
        <f>10.95*-1</f>
        <v>-10.95</v>
      </c>
      <c r="I35" s="118">
        <v>-182</v>
      </c>
      <c r="J35" s="156"/>
      <c r="K35" s="17"/>
      <c r="L35" s="1"/>
      <c r="M35" s="26"/>
    </row>
    <row r="36" spans="1:13" ht="30.75" customHeight="1">
      <c r="A36" s="97">
        <v>11</v>
      </c>
      <c r="B36" s="195" t="s">
        <v>184</v>
      </c>
      <c r="C36" s="117">
        <f aca="true" t="shared" si="8" ref="C36:I36">C30-C32-C33-C34-C35</f>
        <v>-519.0000000000005</v>
      </c>
      <c r="D36" s="117">
        <f t="shared" si="8"/>
        <v>-307.91000000000065</v>
      </c>
      <c r="E36" s="117">
        <f t="shared" si="8"/>
        <v>-688.6999999999998</v>
      </c>
      <c r="F36" s="117">
        <f t="shared" si="8"/>
        <v>-402.0500000000004</v>
      </c>
      <c r="G36" s="117">
        <f t="shared" si="8"/>
        <v>-1207.7000000000007</v>
      </c>
      <c r="H36" s="117">
        <f t="shared" si="8"/>
        <v>-709.960000000001</v>
      </c>
      <c r="I36" s="117">
        <f t="shared" si="8"/>
        <v>-1342.5499999999995</v>
      </c>
      <c r="J36" s="145"/>
      <c r="K36" s="1"/>
      <c r="L36" s="1"/>
      <c r="M36" s="27"/>
    </row>
    <row r="37" spans="1:12" ht="30.75" customHeight="1">
      <c r="A37" s="97">
        <v>12</v>
      </c>
      <c r="B37" s="99" t="s">
        <v>92</v>
      </c>
      <c r="C37" s="115">
        <v>0</v>
      </c>
      <c r="D37" s="115">
        <v>0</v>
      </c>
      <c r="E37" s="115"/>
      <c r="F37" s="115">
        <f>H37-D37</f>
        <v>0</v>
      </c>
      <c r="G37" s="115"/>
      <c r="H37" s="115">
        <v>0</v>
      </c>
      <c r="I37" s="117">
        <v>0</v>
      </c>
      <c r="J37" s="159"/>
      <c r="K37" s="1"/>
      <c r="L37" s="1"/>
    </row>
    <row r="38" spans="1:12" ht="30.75" customHeight="1">
      <c r="A38" s="97">
        <v>13</v>
      </c>
      <c r="B38" s="196" t="s">
        <v>185</v>
      </c>
      <c r="C38" s="117">
        <f aca="true" t="shared" si="9" ref="C38:I38">+C36-C37</f>
        <v>-519.0000000000005</v>
      </c>
      <c r="D38" s="117">
        <f t="shared" si="9"/>
        <v>-307.91000000000065</v>
      </c>
      <c r="E38" s="117">
        <f t="shared" si="9"/>
        <v>-688.6999999999998</v>
      </c>
      <c r="F38" s="117">
        <f t="shared" si="9"/>
        <v>-402.0500000000004</v>
      </c>
      <c r="G38" s="117">
        <f t="shared" si="9"/>
        <v>-1207.7000000000007</v>
      </c>
      <c r="H38" s="117">
        <f t="shared" si="9"/>
        <v>-709.960000000001</v>
      </c>
      <c r="I38" s="117">
        <f t="shared" si="9"/>
        <v>-1342.5499999999995</v>
      </c>
      <c r="J38" s="145"/>
      <c r="K38" s="17" t="s">
        <v>12</v>
      </c>
      <c r="L38" s="8"/>
    </row>
    <row r="39" spans="1:12" ht="30.75" customHeight="1">
      <c r="A39" s="97">
        <v>14</v>
      </c>
      <c r="B39" s="192" t="s">
        <v>176</v>
      </c>
      <c r="C39" s="115">
        <v>33.85</v>
      </c>
      <c r="D39" s="117">
        <v>35.1</v>
      </c>
      <c r="E39" s="115">
        <f aca="true" t="shared" si="10" ref="E39:F41">G39-C39</f>
        <v>98.53999999999999</v>
      </c>
      <c r="F39" s="115">
        <f t="shared" si="10"/>
        <v>33.71999999999999</v>
      </c>
      <c r="G39" s="117">
        <v>132.39</v>
      </c>
      <c r="H39" s="117">
        <v>68.82</v>
      </c>
      <c r="I39" s="117">
        <v>107.31</v>
      </c>
      <c r="J39" s="157"/>
      <c r="K39" s="17"/>
      <c r="L39" s="8"/>
    </row>
    <row r="40" spans="1:12" ht="30.75" customHeight="1">
      <c r="A40" s="97">
        <v>15</v>
      </c>
      <c r="B40" s="192" t="s">
        <v>179</v>
      </c>
      <c r="C40" s="115">
        <v>0.12</v>
      </c>
      <c r="D40" s="117">
        <v>0</v>
      </c>
      <c r="E40" s="115">
        <f t="shared" si="10"/>
        <v>-0.12</v>
      </c>
      <c r="F40" s="115">
        <f t="shared" si="10"/>
        <v>0</v>
      </c>
      <c r="G40" s="117"/>
      <c r="H40" s="117"/>
      <c r="I40" s="117">
        <v>14.95</v>
      </c>
      <c r="J40" s="157"/>
      <c r="K40" s="17"/>
      <c r="L40" s="8"/>
    </row>
    <row r="41" spans="1:12" ht="30.75" customHeight="1">
      <c r="A41" s="97">
        <v>16</v>
      </c>
      <c r="B41" s="167" t="s">
        <v>68</v>
      </c>
      <c r="C41" s="117">
        <v>0</v>
      </c>
      <c r="D41" s="117">
        <v>0</v>
      </c>
      <c r="E41" s="115">
        <f t="shared" si="10"/>
        <v>0</v>
      </c>
      <c r="F41" s="115">
        <f t="shared" si="10"/>
        <v>0</v>
      </c>
      <c r="G41" s="117">
        <v>0</v>
      </c>
      <c r="H41" s="117">
        <v>0</v>
      </c>
      <c r="I41" s="117">
        <v>218.57</v>
      </c>
      <c r="J41" s="157"/>
      <c r="K41" s="17"/>
      <c r="L41" s="8"/>
    </row>
    <row r="42" spans="1:12" ht="30.75" customHeight="1">
      <c r="A42" s="97">
        <v>17</v>
      </c>
      <c r="B42" s="192" t="s">
        <v>186</v>
      </c>
      <c r="C42" s="117">
        <f aca="true" t="shared" si="11" ref="C42:I42">C38+C39+C40+C41</f>
        <v>-485.0300000000004</v>
      </c>
      <c r="D42" s="117">
        <f t="shared" si="11"/>
        <v>-272.8100000000006</v>
      </c>
      <c r="E42" s="117">
        <f t="shared" si="11"/>
        <v>-590.2799999999999</v>
      </c>
      <c r="F42" s="117">
        <f t="shared" si="11"/>
        <v>-368.33000000000044</v>
      </c>
      <c r="G42" s="117">
        <f t="shared" si="11"/>
        <v>-1075.3100000000009</v>
      </c>
      <c r="H42" s="117">
        <f t="shared" si="11"/>
        <v>-641.140000000001</v>
      </c>
      <c r="I42" s="117">
        <f t="shared" si="11"/>
        <v>-1001.7199999999996</v>
      </c>
      <c r="J42" s="157"/>
      <c r="K42" s="17"/>
      <c r="L42" s="8"/>
    </row>
    <row r="43" spans="1:12" ht="30.75" customHeight="1">
      <c r="A43" s="101"/>
      <c r="B43" s="102"/>
      <c r="C43" s="103"/>
      <c r="D43" s="103"/>
      <c r="E43" s="103"/>
      <c r="F43" s="103"/>
      <c r="G43" s="103"/>
      <c r="H43" s="103"/>
      <c r="I43" s="103"/>
      <c r="J43" s="103"/>
      <c r="K43" s="17"/>
      <c r="L43" s="8"/>
    </row>
    <row r="44" spans="1:12" ht="30.75" customHeight="1">
      <c r="A44" s="101"/>
      <c r="B44" s="102"/>
      <c r="C44" s="103"/>
      <c r="D44" s="103"/>
      <c r="E44" s="103"/>
      <c r="F44" s="103"/>
      <c r="G44" s="103"/>
      <c r="H44" s="103"/>
      <c r="I44" s="103" t="s">
        <v>12</v>
      </c>
      <c r="J44" s="58"/>
      <c r="K44" s="17" t="s">
        <v>12</v>
      </c>
      <c r="L44" s="8"/>
    </row>
    <row r="45" spans="1:12" ht="30.75" customHeight="1">
      <c r="A45" s="550" t="s">
        <v>11</v>
      </c>
      <c r="B45" s="550"/>
      <c r="C45" s="550"/>
      <c r="D45" s="550"/>
      <c r="E45" s="550"/>
      <c r="F45" s="550"/>
      <c r="G45" s="550"/>
      <c r="H45" s="550"/>
      <c r="I45" s="550"/>
      <c r="J45" s="149"/>
      <c r="K45" s="17"/>
      <c r="L45" s="8"/>
    </row>
    <row r="46" spans="1:12" ht="16.5" customHeight="1">
      <c r="A46" s="551" t="str">
        <f>+A4</f>
        <v>UNAUDITED CONSOLIDATED FINANCIAL RESULTS  FOR THE QUARTER AND NINE MONTHS PERIOD ENDED 31ST DECEMBER, 2011</v>
      </c>
      <c r="B46" s="552"/>
      <c r="C46" s="552"/>
      <c r="D46" s="552"/>
      <c r="E46" s="552"/>
      <c r="F46" s="552"/>
      <c r="G46" s="552"/>
      <c r="H46" s="552"/>
      <c r="I46" s="552"/>
      <c r="J46" s="148"/>
      <c r="K46" s="17"/>
      <c r="L46" s="8"/>
    </row>
    <row r="47" spans="1:12" ht="17.25" customHeight="1">
      <c r="A47" s="4"/>
      <c r="B47" s="20"/>
      <c r="C47" s="4"/>
      <c r="D47" s="4"/>
      <c r="E47" s="4"/>
      <c r="F47" s="4"/>
      <c r="G47" s="4"/>
      <c r="H47" s="4"/>
      <c r="I47" s="4"/>
      <c r="J47" s="153"/>
      <c r="K47" s="17"/>
      <c r="L47" s="8"/>
    </row>
    <row r="48" spans="1:12" ht="15.75" customHeight="1">
      <c r="A48" s="554" t="s">
        <v>162</v>
      </c>
      <c r="B48" s="177" t="s">
        <v>31</v>
      </c>
      <c r="C48" s="563"/>
      <c r="D48" s="563"/>
      <c r="E48" s="563"/>
      <c r="F48" s="563"/>
      <c r="G48" s="563"/>
      <c r="H48" s="563"/>
      <c r="I48" s="564"/>
      <c r="J48" s="96"/>
      <c r="K48" s="17"/>
      <c r="L48" s="8"/>
    </row>
    <row r="49" spans="1:12" ht="15.75" customHeight="1">
      <c r="A49" s="555"/>
      <c r="B49" s="180" t="s">
        <v>12</v>
      </c>
      <c r="C49" s="563" t="s">
        <v>32</v>
      </c>
      <c r="D49" s="564"/>
      <c r="E49" s="563" t="s">
        <v>32</v>
      </c>
      <c r="F49" s="564"/>
      <c r="G49" s="563" t="s">
        <v>175</v>
      </c>
      <c r="H49" s="564"/>
      <c r="I49" s="175" t="s">
        <v>45</v>
      </c>
      <c r="J49" s="96"/>
      <c r="K49" s="17"/>
      <c r="L49" s="8"/>
    </row>
    <row r="50" spans="1:12" ht="15.75" customHeight="1">
      <c r="A50" s="555"/>
      <c r="B50" s="180"/>
      <c r="C50" s="538" t="s">
        <v>177</v>
      </c>
      <c r="D50" s="538" t="s">
        <v>178</v>
      </c>
      <c r="E50" s="553" t="s">
        <v>171</v>
      </c>
      <c r="F50" s="546" t="s">
        <v>172</v>
      </c>
      <c r="G50" s="553" t="s">
        <v>171</v>
      </c>
      <c r="H50" s="546" t="s">
        <v>172</v>
      </c>
      <c r="I50" s="546" t="s">
        <v>161</v>
      </c>
      <c r="J50" s="154"/>
      <c r="K50" s="17"/>
      <c r="L50" s="8"/>
    </row>
    <row r="51" spans="1:12" ht="15.75" customHeight="1">
      <c r="A51" s="555"/>
      <c r="B51" s="180"/>
      <c r="C51" s="539"/>
      <c r="D51" s="539"/>
      <c r="E51" s="539"/>
      <c r="F51" s="547"/>
      <c r="G51" s="539"/>
      <c r="H51" s="547"/>
      <c r="I51" s="547"/>
      <c r="J51" s="96"/>
      <c r="K51" s="17"/>
      <c r="L51" s="8"/>
    </row>
    <row r="52" spans="1:12" ht="23.25" customHeight="1">
      <c r="A52" s="556"/>
      <c r="B52" s="181"/>
      <c r="C52" s="185" t="s">
        <v>76</v>
      </c>
      <c r="D52" s="185" t="s">
        <v>76</v>
      </c>
      <c r="E52" s="185" t="s">
        <v>76</v>
      </c>
      <c r="F52" s="179" t="s">
        <v>76</v>
      </c>
      <c r="G52" s="185" t="s">
        <v>76</v>
      </c>
      <c r="H52" s="179" t="s">
        <v>76</v>
      </c>
      <c r="I52" s="179" t="s">
        <v>33</v>
      </c>
      <c r="J52" s="155"/>
      <c r="K52" s="17"/>
      <c r="L52" s="8"/>
    </row>
    <row r="53" spans="1:13" ht="39.75" customHeight="1">
      <c r="A53" s="97">
        <v>18</v>
      </c>
      <c r="B53" s="104" t="s">
        <v>66</v>
      </c>
      <c r="C53" s="121">
        <v>0</v>
      </c>
      <c r="D53" s="121">
        <v>1378.59</v>
      </c>
      <c r="E53" s="115">
        <v>1562.97</v>
      </c>
      <c r="F53" s="115">
        <v>1562.97</v>
      </c>
      <c r="G53" s="115">
        <v>1562.97</v>
      </c>
      <c r="H53" s="121">
        <v>1562.97</v>
      </c>
      <c r="I53" s="115">
        <v>1562.97</v>
      </c>
      <c r="J53" s="160"/>
      <c r="K53" s="1"/>
      <c r="L53" s="17"/>
      <c r="M53" s="27"/>
    </row>
    <row r="54" spans="1:12" ht="51.75" customHeight="1">
      <c r="A54" s="97">
        <v>19</v>
      </c>
      <c r="B54" s="143" t="s">
        <v>67</v>
      </c>
      <c r="C54" s="133"/>
      <c r="D54" s="133">
        <v>14168.56</v>
      </c>
      <c r="E54" s="133"/>
      <c r="F54" s="133"/>
      <c r="G54" s="133"/>
      <c r="H54" s="133"/>
      <c r="I54" s="134">
        <v>17576.78</v>
      </c>
      <c r="J54" s="161"/>
      <c r="K54" s="92"/>
      <c r="L54" s="1" t="s">
        <v>12</v>
      </c>
    </row>
    <row r="55" spans="1:12" ht="27" customHeight="1">
      <c r="A55" s="97">
        <v>20</v>
      </c>
      <c r="B55" s="100" t="s">
        <v>73</v>
      </c>
      <c r="C55" s="133"/>
      <c r="D55" s="133"/>
      <c r="E55" s="133"/>
      <c r="F55" s="133"/>
      <c r="G55" s="133"/>
      <c r="H55" s="133"/>
      <c r="I55" s="133"/>
      <c r="J55" s="161"/>
      <c r="K55" s="1"/>
      <c r="L55" s="1" t="s">
        <v>12</v>
      </c>
    </row>
    <row r="56" spans="1:12" ht="21.75" customHeight="1">
      <c r="A56" s="97"/>
      <c r="B56" s="132" t="s">
        <v>46</v>
      </c>
      <c r="C56" s="133"/>
      <c r="D56" s="133"/>
      <c r="E56" s="133"/>
      <c r="F56" s="133"/>
      <c r="G56" s="133"/>
      <c r="H56" s="133"/>
      <c r="I56" s="133"/>
      <c r="J56" s="161"/>
      <c r="K56" s="1"/>
      <c r="L56" s="1" t="s">
        <v>12</v>
      </c>
    </row>
    <row r="57" spans="1:12" ht="22.5" customHeight="1">
      <c r="A57" s="97"/>
      <c r="B57" s="105" t="s">
        <v>61</v>
      </c>
      <c r="C57" s="133"/>
      <c r="D57" s="133"/>
      <c r="E57" s="133"/>
      <c r="F57" s="133"/>
      <c r="G57" s="133"/>
      <c r="H57" s="133"/>
      <c r="I57" s="133"/>
      <c r="J57" s="161"/>
      <c r="K57" s="1"/>
      <c r="L57" s="1" t="s">
        <v>12</v>
      </c>
    </row>
    <row r="58" spans="1:12" ht="22.5" customHeight="1">
      <c r="A58" s="97"/>
      <c r="B58" s="105" t="s">
        <v>51</v>
      </c>
      <c r="C58" s="133">
        <f>((C38+C39)*100000)/15041205</f>
        <v>-3.2254729591146485</v>
      </c>
      <c r="D58" s="133">
        <v>-2.33</v>
      </c>
      <c r="E58" s="133">
        <f>((E38+E39)*100000)/15041205</f>
        <v>-3.9236218108854963</v>
      </c>
      <c r="F58" s="133">
        <f>H58-D58</f>
        <v>-2.3899999999999997</v>
      </c>
      <c r="G58" s="133">
        <f>((G38+G39)*100000)/15041205</f>
        <v>-7.149094770000149</v>
      </c>
      <c r="H58" s="133">
        <v>-4.72</v>
      </c>
      <c r="I58" s="133">
        <v>-7</v>
      </c>
      <c r="J58" s="161"/>
      <c r="K58" s="1"/>
      <c r="L58" s="1" t="s">
        <v>12</v>
      </c>
    </row>
    <row r="59" spans="1:12" ht="25.5" customHeight="1">
      <c r="A59" s="97"/>
      <c r="B59" s="105" t="s">
        <v>52</v>
      </c>
      <c r="C59" s="133">
        <f>((C38+C39)*100000)/15041205</f>
        <v>-3.2254729591146485</v>
      </c>
      <c r="D59" s="133">
        <v>-2.33</v>
      </c>
      <c r="E59" s="133">
        <f>((E38+E39)*100000)/15041205</f>
        <v>-3.9236218108854963</v>
      </c>
      <c r="F59" s="133">
        <f>H59-D59</f>
        <v>-2.3899999999999997</v>
      </c>
      <c r="G59" s="133">
        <f>((G38+G39)*100000)/15041205</f>
        <v>-7.149094770000149</v>
      </c>
      <c r="H59" s="133">
        <v>-4.72</v>
      </c>
      <c r="I59" s="133">
        <v>-7</v>
      </c>
      <c r="J59" s="161"/>
      <c r="K59" s="84"/>
      <c r="L59" s="1" t="s">
        <v>12</v>
      </c>
    </row>
    <row r="60" spans="1:12" ht="24.75" customHeight="1">
      <c r="A60" s="97"/>
      <c r="B60" s="105" t="s">
        <v>62</v>
      </c>
      <c r="C60" s="186"/>
      <c r="D60" s="186"/>
      <c r="E60" s="186"/>
      <c r="F60" s="186"/>
      <c r="G60" s="186"/>
      <c r="H60" s="186"/>
      <c r="I60" s="133"/>
      <c r="J60" s="161"/>
      <c r="K60" s="1"/>
      <c r="L60" s="1" t="s">
        <v>12</v>
      </c>
    </row>
    <row r="61" spans="1:14" ht="22.5" customHeight="1">
      <c r="A61" s="97"/>
      <c r="B61" s="105" t="s">
        <v>51</v>
      </c>
      <c r="C61" s="133">
        <f>((C41+C42)*100000)/15041205</f>
        <v>-3.2246751506943787</v>
      </c>
      <c r="D61" s="133">
        <v>-2.33</v>
      </c>
      <c r="E61" s="133">
        <f>((E38+E39)*100000)/15041205</f>
        <v>-3.9236218108854963</v>
      </c>
      <c r="F61" s="133">
        <f>H61-D61</f>
        <v>-2.3899999999999997</v>
      </c>
      <c r="G61" s="133">
        <f>((G38+G39)*100000)/15041205</f>
        <v>-7.149094770000149</v>
      </c>
      <c r="H61" s="133">
        <v>-4.72</v>
      </c>
      <c r="I61" s="133">
        <v>-7</v>
      </c>
      <c r="J61" s="161"/>
      <c r="K61" s="1"/>
      <c r="L61" s="1"/>
      <c r="M61" s="27"/>
      <c r="N61" s="27"/>
    </row>
    <row r="62" spans="1:12" ht="25.5" customHeight="1">
      <c r="A62" s="97"/>
      <c r="B62" s="105" t="s">
        <v>52</v>
      </c>
      <c r="C62" s="133">
        <f>((C41+C42)*100000)/15041205</f>
        <v>-3.2246751506943787</v>
      </c>
      <c r="D62" s="133">
        <v>-2.33</v>
      </c>
      <c r="E62" s="133">
        <f>((E38+E39)*100000)/15041205</f>
        <v>-3.9236218108854963</v>
      </c>
      <c r="F62" s="133">
        <f>H62-D62</f>
        <v>-2.3899999999999997</v>
      </c>
      <c r="G62" s="133">
        <f>((G38+G39)*100000)/15041205</f>
        <v>-7.149094770000149</v>
      </c>
      <c r="H62" s="133">
        <v>-4.72</v>
      </c>
      <c r="I62" s="133">
        <v>-7</v>
      </c>
      <c r="J62" s="161"/>
      <c r="K62" s="1"/>
      <c r="L62" s="1"/>
    </row>
    <row r="63" spans="1:12" ht="47.25" customHeight="1" hidden="1">
      <c r="A63" s="182">
        <v>21</v>
      </c>
      <c r="B63" s="105" t="s">
        <v>74</v>
      </c>
      <c r="C63" s="135" t="s">
        <v>173</v>
      </c>
      <c r="D63" s="135" t="s">
        <v>180</v>
      </c>
      <c r="E63" s="135" t="s">
        <v>173</v>
      </c>
      <c r="F63" s="135" t="s">
        <v>166</v>
      </c>
      <c r="G63" s="135" t="s">
        <v>173</v>
      </c>
      <c r="H63" s="135" t="s">
        <v>166</v>
      </c>
      <c r="I63" s="166" t="s">
        <v>142</v>
      </c>
      <c r="J63" s="162"/>
      <c r="K63" s="1"/>
      <c r="L63" s="1"/>
    </row>
    <row r="64" spans="1:12" ht="38.25" customHeight="1" hidden="1">
      <c r="A64" s="557">
        <v>22</v>
      </c>
      <c r="B64" s="136" t="s">
        <v>98</v>
      </c>
      <c r="C64" s="137"/>
      <c r="D64" s="137"/>
      <c r="E64" s="137"/>
      <c r="F64" s="137"/>
      <c r="G64" s="137"/>
      <c r="H64" s="137"/>
      <c r="I64" s="138"/>
      <c r="J64" s="162"/>
      <c r="K64" s="1"/>
      <c r="L64" s="1"/>
    </row>
    <row r="65" spans="1:12" ht="38.25" customHeight="1" hidden="1">
      <c r="A65" s="558"/>
      <c r="B65" s="136" t="s">
        <v>99</v>
      </c>
      <c r="C65" s="106" t="s">
        <v>116</v>
      </c>
      <c r="D65" s="106"/>
      <c r="E65" s="106" t="s">
        <v>116</v>
      </c>
      <c r="F65" s="106" t="s">
        <v>116</v>
      </c>
      <c r="G65" s="106" t="s">
        <v>116</v>
      </c>
      <c r="H65" s="106" t="s">
        <v>116</v>
      </c>
      <c r="I65" s="106" t="s">
        <v>116</v>
      </c>
      <c r="J65" s="163"/>
      <c r="K65" s="1"/>
      <c r="L65" s="1"/>
    </row>
    <row r="66" spans="1:12" ht="54.75" customHeight="1" hidden="1">
      <c r="A66" s="558"/>
      <c r="B66" s="139" t="s">
        <v>100</v>
      </c>
      <c r="C66" s="106" t="s">
        <v>116</v>
      </c>
      <c r="D66" s="106"/>
      <c r="E66" s="106" t="s">
        <v>116</v>
      </c>
      <c r="F66" s="106" t="s">
        <v>116</v>
      </c>
      <c r="G66" s="106" t="s">
        <v>116</v>
      </c>
      <c r="H66" s="106" t="s">
        <v>116</v>
      </c>
      <c r="I66" s="106" t="s">
        <v>116</v>
      </c>
      <c r="J66" s="164"/>
      <c r="K66" s="1"/>
      <c r="L66" s="1"/>
    </row>
    <row r="67" spans="1:12" ht="38.25" customHeight="1" hidden="1">
      <c r="A67" s="558"/>
      <c r="B67" s="139" t="s">
        <v>101</v>
      </c>
      <c r="C67" s="106" t="s">
        <v>116</v>
      </c>
      <c r="D67" s="106"/>
      <c r="E67" s="106" t="s">
        <v>116</v>
      </c>
      <c r="F67" s="106" t="s">
        <v>116</v>
      </c>
      <c r="G67" s="106" t="s">
        <v>116</v>
      </c>
      <c r="H67" s="106" t="s">
        <v>116</v>
      </c>
      <c r="I67" s="106" t="s">
        <v>116</v>
      </c>
      <c r="J67" s="164"/>
      <c r="K67" s="1"/>
      <c r="L67" s="1"/>
    </row>
    <row r="68" spans="1:12" ht="23.25" customHeight="1" hidden="1">
      <c r="A68" s="560"/>
      <c r="B68" s="136" t="s">
        <v>102</v>
      </c>
      <c r="C68" s="108"/>
      <c r="D68" s="108"/>
      <c r="E68" s="108"/>
      <c r="F68" s="140"/>
      <c r="G68" s="108"/>
      <c r="H68" s="140"/>
      <c r="I68" s="141"/>
      <c r="J68" s="162"/>
      <c r="K68" s="1"/>
      <c r="L68" s="1"/>
    </row>
    <row r="69" spans="1:12" ht="27" customHeight="1" hidden="1">
      <c r="A69" s="560"/>
      <c r="B69" s="136" t="s">
        <v>103</v>
      </c>
      <c r="C69" s="107">
        <v>9871297</v>
      </c>
      <c r="D69" s="107"/>
      <c r="E69" s="107">
        <v>9871297</v>
      </c>
      <c r="F69" s="107">
        <v>9775198</v>
      </c>
      <c r="G69" s="107">
        <v>9871297</v>
      </c>
      <c r="H69" s="107">
        <v>9775198</v>
      </c>
      <c r="I69" s="107">
        <v>9860097</v>
      </c>
      <c r="J69" s="163" t="s">
        <v>12</v>
      </c>
      <c r="K69" s="1"/>
      <c r="L69" s="1" t="s">
        <v>12</v>
      </c>
    </row>
    <row r="70" spans="1:12" ht="50.25" customHeight="1" hidden="1">
      <c r="A70" s="560"/>
      <c r="B70" s="139" t="s">
        <v>104</v>
      </c>
      <c r="C70" s="108">
        <v>1</v>
      </c>
      <c r="D70" s="108"/>
      <c r="E70" s="108">
        <v>1</v>
      </c>
      <c r="F70" s="108">
        <v>1</v>
      </c>
      <c r="G70" s="108">
        <v>1</v>
      </c>
      <c r="H70" s="108">
        <v>1</v>
      </c>
      <c r="I70" s="108">
        <v>1</v>
      </c>
      <c r="J70" s="164"/>
      <c r="K70" s="1"/>
      <c r="L70" s="1"/>
    </row>
    <row r="71" spans="1:12" ht="39.75" customHeight="1" hidden="1">
      <c r="A71" s="561"/>
      <c r="B71" s="142" t="s">
        <v>101</v>
      </c>
      <c r="C71" s="109">
        <v>0.6563</v>
      </c>
      <c r="D71" s="109"/>
      <c r="E71" s="109">
        <v>0.6563</v>
      </c>
      <c r="F71" s="109">
        <v>0.6499</v>
      </c>
      <c r="G71" s="109">
        <v>0.6563</v>
      </c>
      <c r="H71" s="109">
        <v>0.6499</v>
      </c>
      <c r="I71" s="109">
        <v>0.6555</v>
      </c>
      <c r="J71" s="164"/>
      <c r="K71" s="1" t="s">
        <v>12</v>
      </c>
      <c r="L71" s="1"/>
    </row>
    <row r="72" spans="1:12" ht="47.25" customHeight="1">
      <c r="A72" s="110"/>
      <c r="B72" s="111"/>
      <c r="C72" s="112" t="s">
        <v>12</v>
      </c>
      <c r="D72" s="112"/>
      <c r="E72" s="112"/>
      <c r="F72" s="112"/>
      <c r="G72" s="112"/>
      <c r="H72" s="112"/>
      <c r="I72" s="113"/>
      <c r="J72" s="103"/>
      <c r="K72" s="1"/>
      <c r="L72" s="1"/>
    </row>
    <row r="73" spans="1:12" ht="47.25" customHeight="1">
      <c r="A73" s="110"/>
      <c r="B73" s="111"/>
      <c r="C73" s="113"/>
      <c r="D73" s="113"/>
      <c r="E73" s="113"/>
      <c r="F73" s="113"/>
      <c r="G73" s="113"/>
      <c r="H73" s="113"/>
      <c r="I73" s="113"/>
      <c r="J73" s="58"/>
      <c r="K73" s="1"/>
      <c r="L73" s="1"/>
    </row>
    <row r="74" spans="1:12" ht="47.25" customHeight="1">
      <c r="A74" s="110"/>
      <c r="B74" s="111"/>
      <c r="C74" s="113"/>
      <c r="D74" s="113"/>
      <c r="E74" s="113"/>
      <c r="F74" s="113"/>
      <c r="G74" s="113"/>
      <c r="H74" s="113"/>
      <c r="I74" s="113"/>
      <c r="J74" s="58"/>
      <c r="K74" s="1"/>
      <c r="L74" s="1"/>
    </row>
    <row r="75" spans="1:12" ht="47.25" customHeight="1">
      <c r="A75" s="110"/>
      <c r="B75" s="111"/>
      <c r="C75" s="113"/>
      <c r="D75" s="113"/>
      <c r="E75" s="113"/>
      <c r="F75" s="113"/>
      <c r="G75" s="113"/>
      <c r="H75" s="113"/>
      <c r="I75" s="113"/>
      <c r="J75" s="58"/>
      <c r="K75" s="1"/>
      <c r="L75" s="1"/>
    </row>
    <row r="76" spans="1:12" ht="47.25" customHeight="1">
      <c r="A76" s="110"/>
      <c r="B76" s="111"/>
      <c r="C76" s="113"/>
      <c r="D76" s="113"/>
      <c r="E76" s="113"/>
      <c r="F76" s="113"/>
      <c r="G76" s="113"/>
      <c r="H76" s="113"/>
      <c r="I76" s="113"/>
      <c r="J76" s="58"/>
      <c r="K76" s="1"/>
      <c r="L76" s="1"/>
    </row>
    <row r="77" spans="1:12" ht="47.25" customHeight="1">
      <c r="A77" s="52"/>
      <c r="B77" s="53"/>
      <c r="C77" s="54"/>
      <c r="D77" s="54"/>
      <c r="E77" s="54"/>
      <c r="F77" s="54"/>
      <c r="G77" s="54"/>
      <c r="H77" s="54"/>
      <c r="I77" s="54"/>
      <c r="J77" s="58"/>
      <c r="K77" s="1"/>
      <c r="L77" s="1"/>
    </row>
    <row r="78" spans="1:12" ht="47.25" customHeight="1">
      <c r="A78" s="52"/>
      <c r="B78" s="53"/>
      <c r="C78" s="54"/>
      <c r="D78" s="54"/>
      <c r="E78" s="54"/>
      <c r="F78" s="54"/>
      <c r="G78" s="54"/>
      <c r="H78" s="54"/>
      <c r="I78" s="54"/>
      <c r="J78" s="58"/>
      <c r="K78" s="1"/>
      <c r="L78" s="1"/>
    </row>
    <row r="79" spans="1:12" ht="47.25" customHeight="1">
      <c r="A79" s="52"/>
      <c r="B79" s="53"/>
      <c r="C79" s="54"/>
      <c r="D79" s="54"/>
      <c r="E79" s="54"/>
      <c r="F79" s="54"/>
      <c r="G79" s="54"/>
      <c r="H79" s="54"/>
      <c r="I79" s="54"/>
      <c r="J79" s="58"/>
      <c r="K79" s="1"/>
      <c r="L79" s="1"/>
    </row>
    <row r="80" spans="1:12" ht="47.25" customHeight="1">
      <c r="A80" s="52"/>
      <c r="B80" s="53"/>
      <c r="C80" s="54"/>
      <c r="D80" s="54"/>
      <c r="E80" s="54"/>
      <c r="F80" s="54"/>
      <c r="G80" s="54"/>
      <c r="H80" s="54"/>
      <c r="I80" s="54"/>
      <c r="J80" s="58"/>
      <c r="K80" s="1"/>
      <c r="L80" s="1"/>
    </row>
    <row r="81" spans="1:12" ht="47.25" customHeight="1">
      <c r="A81" s="52"/>
      <c r="B81" s="53"/>
      <c r="C81" s="54"/>
      <c r="D81" s="54"/>
      <c r="E81" s="54"/>
      <c r="F81" s="54"/>
      <c r="G81" s="54"/>
      <c r="H81" s="54"/>
      <c r="I81" s="54"/>
      <c r="J81" s="58"/>
      <c r="K81" s="1"/>
      <c r="L81" s="1"/>
    </row>
    <row r="82" spans="1:12" ht="47.25" customHeight="1">
      <c r="A82" s="52"/>
      <c r="B82" s="53"/>
      <c r="C82" s="54"/>
      <c r="D82" s="54"/>
      <c r="E82" s="54"/>
      <c r="F82" s="54"/>
      <c r="G82" s="54"/>
      <c r="H82" s="54"/>
      <c r="I82" s="54"/>
      <c r="J82" s="58"/>
      <c r="K82" s="1"/>
      <c r="L82" s="1"/>
    </row>
    <row r="83" spans="1:12" ht="47.25" customHeight="1">
      <c r="A83" s="52"/>
      <c r="B83" s="53"/>
      <c r="C83" s="54"/>
      <c r="D83" s="54"/>
      <c r="E83" s="54"/>
      <c r="F83" s="54"/>
      <c r="G83" s="54"/>
      <c r="H83" s="54"/>
      <c r="I83" s="54"/>
      <c r="J83" s="58"/>
      <c r="K83" s="1"/>
      <c r="L83" s="1"/>
    </row>
    <row r="84" spans="1:12" ht="40.5" customHeight="1">
      <c r="A84" s="559"/>
      <c r="B84" s="60" t="s">
        <v>12</v>
      </c>
      <c r="C84" s="54"/>
      <c r="D84" s="54"/>
      <c r="E84" s="54"/>
      <c r="F84" s="54"/>
      <c r="G84" s="54"/>
      <c r="H84" s="54"/>
      <c r="I84" s="54"/>
      <c r="J84" s="58"/>
      <c r="K84" s="1"/>
      <c r="L84" s="1"/>
    </row>
    <row r="85" spans="1:12" ht="47.25" customHeight="1">
      <c r="A85" s="559"/>
      <c r="B85" s="73" t="s">
        <v>111</v>
      </c>
      <c r="C85" s="74"/>
      <c r="D85" s="74"/>
      <c r="E85" s="74"/>
      <c r="F85" s="74"/>
      <c r="G85" s="74"/>
      <c r="H85" s="74"/>
      <c r="I85" s="74"/>
      <c r="J85" s="54"/>
      <c r="K85" s="1"/>
      <c r="L85" s="1"/>
    </row>
    <row r="86" spans="1:12" ht="47.25" customHeight="1">
      <c r="A86" s="548"/>
      <c r="B86" s="53" t="s">
        <v>112</v>
      </c>
      <c r="C86" s="75"/>
      <c r="D86" s="75"/>
      <c r="E86" s="75"/>
      <c r="F86" s="75"/>
      <c r="G86" s="75"/>
      <c r="H86" s="75"/>
      <c r="I86" s="75"/>
      <c r="J86" s="54"/>
      <c r="K86" s="1"/>
      <c r="L86" s="1">
        <f>106+25.83+25.55-6+5+2+23+20+13</f>
        <v>214.38</v>
      </c>
    </row>
    <row r="87" spans="1:12" ht="47.25" customHeight="1">
      <c r="A87" s="548"/>
      <c r="B87" s="53" t="s">
        <v>113</v>
      </c>
      <c r="C87" s="76"/>
      <c r="D87" s="76"/>
      <c r="E87" s="76"/>
      <c r="F87" s="76"/>
      <c r="G87" s="76"/>
      <c r="H87" s="76"/>
      <c r="I87" s="76"/>
      <c r="J87" s="54"/>
      <c r="K87" s="1">
        <f>5622600+3422197</f>
        <v>9044797</v>
      </c>
      <c r="L87" s="1">
        <f>+L86-221</f>
        <v>-6.6200000000000045</v>
      </c>
    </row>
    <row r="88" spans="1:12" ht="47.25" customHeight="1">
      <c r="A88" s="548"/>
      <c r="B88" s="53" t="s">
        <v>114</v>
      </c>
      <c r="C88" s="76"/>
      <c r="D88" s="76"/>
      <c r="E88" s="76"/>
      <c r="F88" s="76"/>
      <c r="G88" s="76"/>
      <c r="H88" s="76"/>
      <c r="I88" s="76"/>
      <c r="J88" s="55"/>
      <c r="K88" s="1"/>
      <c r="L88" s="1"/>
    </row>
    <row r="89" spans="1:12" ht="47.25" customHeight="1">
      <c r="A89" s="549"/>
      <c r="B89" s="53" t="s">
        <v>115</v>
      </c>
      <c r="C89" s="76"/>
      <c r="D89" s="76"/>
      <c r="E89" s="76"/>
      <c r="F89" s="76"/>
      <c r="G89" s="76"/>
      <c r="H89" s="76"/>
      <c r="I89" s="76"/>
      <c r="J89" s="56"/>
      <c r="K89" s="1"/>
      <c r="L89" s="1"/>
    </row>
    <row r="90" spans="1:12" ht="47.25" customHeight="1">
      <c r="A90" s="52"/>
      <c r="B90" s="53" t="s">
        <v>91</v>
      </c>
      <c r="C90" s="76"/>
      <c r="D90" s="76"/>
      <c r="E90" s="76"/>
      <c r="F90" s="76"/>
      <c r="G90" s="76"/>
      <c r="H90" s="76"/>
      <c r="I90" s="76"/>
      <c r="J90" s="56"/>
      <c r="K90" s="1"/>
      <c r="L90" s="1"/>
    </row>
    <row r="91" spans="1:12" ht="47.25" customHeight="1">
      <c r="A91" s="52"/>
      <c r="B91" s="53"/>
      <c r="C91" s="54"/>
      <c r="D91" s="54"/>
      <c r="E91" s="54"/>
      <c r="F91" s="54"/>
      <c r="G91" s="54"/>
      <c r="H91" s="54"/>
      <c r="I91" s="54"/>
      <c r="J91" s="54"/>
      <c r="K91" s="1"/>
      <c r="L91" s="1"/>
    </row>
    <row r="92" spans="1:12" ht="47.25" customHeight="1">
      <c r="A92" s="52"/>
      <c r="B92" s="53"/>
      <c r="C92" s="54"/>
      <c r="D92" s="54"/>
      <c r="E92" s="54"/>
      <c r="F92" s="54"/>
      <c r="G92" s="54"/>
      <c r="H92" s="54"/>
      <c r="I92" s="54"/>
      <c r="J92" s="54"/>
      <c r="K92" s="1"/>
      <c r="L92" s="1"/>
    </row>
    <row r="93" spans="1:12" ht="47.25" customHeight="1">
      <c r="A93" s="52"/>
      <c r="B93" s="53"/>
      <c r="C93" s="54"/>
      <c r="D93" s="54"/>
      <c r="E93" s="54"/>
      <c r="F93" s="54"/>
      <c r="G93" s="54"/>
      <c r="H93" s="54"/>
      <c r="I93" s="54"/>
      <c r="J93" s="54"/>
      <c r="K93" s="1"/>
      <c r="L93" s="1"/>
    </row>
    <row r="94" spans="1:12" ht="47.25" customHeight="1">
      <c r="A94" s="52"/>
      <c r="B94" s="53"/>
      <c r="C94" s="54"/>
      <c r="D94" s="54"/>
      <c r="E94" s="54"/>
      <c r="F94" s="54"/>
      <c r="G94" s="54"/>
      <c r="H94" s="54"/>
      <c r="I94" s="54"/>
      <c r="J94" s="54"/>
      <c r="K94" s="1"/>
      <c r="L94" s="1"/>
    </row>
    <row r="95" spans="1:12" ht="47.25" customHeight="1">
      <c r="A95" s="52"/>
      <c r="B95" s="53"/>
      <c r="C95" s="54"/>
      <c r="D95" s="54"/>
      <c r="E95" s="54"/>
      <c r="F95" s="54"/>
      <c r="G95" s="54"/>
      <c r="H95" s="54"/>
      <c r="I95" s="54"/>
      <c r="J95" s="54"/>
      <c r="K95" s="1"/>
      <c r="L95" s="1"/>
    </row>
    <row r="96" spans="1:12" ht="47.25" customHeight="1">
      <c r="A96" s="52"/>
      <c r="B96" s="53"/>
      <c r="C96" s="54"/>
      <c r="D96" s="54"/>
      <c r="E96" s="54"/>
      <c r="F96" s="54"/>
      <c r="G96" s="54"/>
      <c r="H96" s="54"/>
      <c r="I96" s="54"/>
      <c r="J96" s="54"/>
      <c r="K96" s="1"/>
      <c r="L96" s="1"/>
    </row>
    <row r="97" spans="1:12" ht="47.25" customHeight="1">
      <c r="A97" s="52"/>
      <c r="B97" s="53"/>
      <c r="C97" s="54"/>
      <c r="D97" s="54"/>
      <c r="E97" s="54"/>
      <c r="F97" s="54"/>
      <c r="G97" s="54"/>
      <c r="H97" s="54"/>
      <c r="I97" s="54"/>
      <c r="J97" s="54"/>
      <c r="K97" s="1"/>
      <c r="L97" s="1"/>
    </row>
    <row r="98" spans="1:12" ht="47.25" customHeight="1">
      <c r="A98" s="52"/>
      <c r="B98" s="53"/>
      <c r="C98" s="54"/>
      <c r="D98" s="54"/>
      <c r="E98" s="54"/>
      <c r="F98" s="54"/>
      <c r="G98" s="54"/>
      <c r="H98" s="54"/>
      <c r="I98" s="54"/>
      <c r="J98" s="54"/>
      <c r="K98" s="1"/>
      <c r="L98" s="1"/>
    </row>
    <row r="99" spans="1:12" ht="47.25" customHeight="1">
      <c r="A99" s="52"/>
      <c r="B99" s="53"/>
      <c r="C99" s="54"/>
      <c r="D99" s="54"/>
      <c r="E99" s="54"/>
      <c r="F99" s="54"/>
      <c r="G99" s="54"/>
      <c r="H99" s="54"/>
      <c r="I99" s="54"/>
      <c r="J99" s="54"/>
      <c r="K99" s="1"/>
      <c r="L99" s="1"/>
    </row>
    <row r="100" spans="1:12" ht="47.25" customHeight="1">
      <c r="A100" s="52"/>
      <c r="B100" s="53"/>
      <c r="C100" s="54"/>
      <c r="D100" s="54"/>
      <c r="E100" s="54"/>
      <c r="F100" s="54"/>
      <c r="G100" s="54"/>
      <c r="H100" s="54"/>
      <c r="I100" s="54"/>
      <c r="J100" s="54"/>
      <c r="K100" s="1"/>
      <c r="L100" s="1"/>
    </row>
    <row r="101" spans="1:12" ht="47.25" customHeight="1">
      <c r="A101" s="52"/>
      <c r="B101" s="53"/>
      <c r="C101" s="54"/>
      <c r="D101" s="54"/>
      <c r="E101" s="54"/>
      <c r="F101" s="54"/>
      <c r="G101" s="54"/>
      <c r="H101" s="54"/>
      <c r="I101" s="54"/>
      <c r="J101" s="54"/>
      <c r="K101" s="1"/>
      <c r="L101" s="1"/>
    </row>
    <row r="102" spans="1:12" ht="47.25" customHeight="1">
      <c r="A102" s="52"/>
      <c r="B102" s="53"/>
      <c r="C102" s="54"/>
      <c r="D102" s="54"/>
      <c r="E102" s="54"/>
      <c r="F102" s="54"/>
      <c r="G102" s="54"/>
      <c r="H102" s="54"/>
      <c r="I102" s="54"/>
      <c r="J102" s="54"/>
      <c r="K102" s="1"/>
      <c r="L102" s="1"/>
    </row>
    <row r="103" spans="1:12" ht="47.25" customHeight="1">
      <c r="A103" s="52"/>
      <c r="B103" s="53"/>
      <c r="C103" s="54"/>
      <c r="D103" s="54"/>
      <c r="E103" s="54"/>
      <c r="F103" s="54"/>
      <c r="G103" s="54"/>
      <c r="H103" s="54"/>
      <c r="I103" s="54"/>
      <c r="J103" s="54"/>
      <c r="K103" s="1"/>
      <c r="L103" s="1"/>
    </row>
    <row r="104" spans="1:12" ht="47.25" customHeight="1">
      <c r="A104" s="52"/>
      <c r="B104" s="53"/>
      <c r="C104" s="54"/>
      <c r="D104" s="54"/>
      <c r="E104" s="54"/>
      <c r="F104" s="54"/>
      <c r="G104" s="54"/>
      <c r="H104" s="54"/>
      <c r="I104" s="54"/>
      <c r="J104" s="54"/>
      <c r="K104" s="1"/>
      <c r="L104" s="1"/>
    </row>
    <row r="105" spans="1:12" ht="47.25" customHeight="1">
      <c r="A105" s="52"/>
      <c r="B105" s="53"/>
      <c r="C105" s="54"/>
      <c r="D105" s="54"/>
      <c r="E105" s="54"/>
      <c r="F105" s="54"/>
      <c r="G105" s="54"/>
      <c r="H105" s="54"/>
      <c r="I105" s="54"/>
      <c r="J105" s="54"/>
      <c r="K105" s="1"/>
      <c r="L105" s="1"/>
    </row>
    <row r="106" spans="1:12" ht="47.25" customHeight="1">
      <c r="A106" s="52"/>
      <c r="B106" s="53"/>
      <c r="C106" s="54"/>
      <c r="D106" s="54"/>
      <c r="E106" s="54"/>
      <c r="F106" s="54"/>
      <c r="G106" s="54"/>
      <c r="H106" s="54"/>
      <c r="I106" s="54"/>
      <c r="J106" s="54"/>
      <c r="K106" s="1"/>
      <c r="L106" s="1"/>
    </row>
    <row r="107" spans="1:12" ht="47.25" customHeight="1">
      <c r="A107" s="52"/>
      <c r="B107" s="53"/>
      <c r="C107" s="54"/>
      <c r="D107" s="54"/>
      <c r="E107" s="54"/>
      <c r="F107" s="54"/>
      <c r="G107" s="54"/>
      <c r="H107" s="54"/>
      <c r="I107" s="54"/>
      <c r="J107" s="54"/>
      <c r="K107" s="1"/>
      <c r="L107" s="1"/>
    </row>
    <row r="108" spans="1:12" ht="47.25" customHeight="1">
      <c r="A108" s="52"/>
      <c r="B108" s="53"/>
      <c r="C108" s="54"/>
      <c r="D108" s="54"/>
      <c r="E108" s="54"/>
      <c r="F108" s="54"/>
      <c r="G108" s="54"/>
      <c r="H108" s="54"/>
      <c r="I108" s="54"/>
      <c r="J108" s="54"/>
      <c r="K108" s="1"/>
      <c r="L108" s="1"/>
    </row>
    <row r="109" spans="1:12" ht="47.25" customHeight="1">
      <c r="A109" s="52"/>
      <c r="B109" s="53"/>
      <c r="C109" s="54"/>
      <c r="D109" s="54"/>
      <c r="E109" s="54"/>
      <c r="F109" s="54"/>
      <c r="G109" s="54"/>
      <c r="H109" s="54"/>
      <c r="I109" s="54"/>
      <c r="J109" s="54"/>
      <c r="K109" s="1"/>
      <c r="L109" s="1"/>
    </row>
    <row r="110" spans="1:12" ht="10.5" customHeight="1">
      <c r="A110" s="10"/>
      <c r="B110" s="11"/>
      <c r="C110" s="12"/>
      <c r="D110" s="12"/>
      <c r="E110" s="12"/>
      <c r="F110" s="12"/>
      <c r="G110" s="12"/>
      <c r="H110" s="12"/>
      <c r="I110" s="12"/>
      <c r="J110" s="12"/>
      <c r="K110" s="1"/>
      <c r="L110" s="1"/>
    </row>
    <row r="111" spans="1:12" ht="15.75" customHeight="1">
      <c r="A111" s="10"/>
      <c r="B111" s="51" t="s">
        <v>89</v>
      </c>
      <c r="C111" s="12"/>
      <c r="D111" s="12"/>
      <c r="E111" s="12"/>
      <c r="F111" s="12"/>
      <c r="G111" s="12"/>
      <c r="H111" s="12"/>
      <c r="I111" s="12"/>
      <c r="J111" s="12"/>
      <c r="K111" s="1"/>
      <c r="L111" s="1"/>
    </row>
    <row r="112" spans="1:12" ht="18" hidden="1">
      <c r="A112" s="32" t="s">
        <v>38</v>
      </c>
      <c r="B112" s="33"/>
      <c r="C112" s="34"/>
      <c r="D112" s="34"/>
      <c r="E112" s="34"/>
      <c r="F112" s="34"/>
      <c r="G112" s="34"/>
      <c r="H112" s="34"/>
      <c r="I112" s="34"/>
      <c r="J112" s="34"/>
      <c r="K112" s="1"/>
      <c r="L112" s="1"/>
    </row>
    <row r="113" spans="1:12" ht="18" customHeight="1" hidden="1">
      <c r="A113" s="35" t="s">
        <v>78</v>
      </c>
      <c r="B113" s="33"/>
      <c r="C113" s="34"/>
      <c r="D113" s="34"/>
      <c r="E113" s="34"/>
      <c r="F113" s="34"/>
      <c r="G113" s="34"/>
      <c r="H113" s="34"/>
      <c r="I113" s="34"/>
      <c r="J113" s="34"/>
      <c r="K113" s="1"/>
      <c r="L113" s="1"/>
    </row>
    <row r="114" spans="1:12" ht="9.75" customHeight="1" hidden="1">
      <c r="A114" s="36"/>
      <c r="B114" s="33"/>
      <c r="C114" s="34"/>
      <c r="D114" s="34"/>
      <c r="E114" s="34"/>
      <c r="F114" s="34"/>
      <c r="G114" s="34"/>
      <c r="H114" s="34"/>
      <c r="I114" s="34"/>
      <c r="J114" s="34"/>
      <c r="K114" s="1"/>
      <c r="L114" s="1"/>
    </row>
    <row r="115" spans="1:12" ht="66" customHeight="1" hidden="1">
      <c r="A115" s="37">
        <v>1</v>
      </c>
      <c r="B115" s="540" t="s">
        <v>84</v>
      </c>
      <c r="C115" s="540"/>
      <c r="D115" s="540"/>
      <c r="E115" s="540"/>
      <c r="F115" s="540"/>
      <c r="G115" s="540"/>
      <c r="H115" s="540"/>
      <c r="I115" s="540"/>
      <c r="J115" s="147"/>
      <c r="K115" s="1"/>
      <c r="L115" s="1"/>
    </row>
    <row r="116" spans="1:12" ht="24.75" customHeight="1" hidden="1">
      <c r="A116" s="37">
        <f>+A115+1</f>
        <v>2</v>
      </c>
      <c r="B116" s="540" t="s">
        <v>56</v>
      </c>
      <c r="C116" s="540"/>
      <c r="D116" s="540"/>
      <c r="E116" s="540"/>
      <c r="F116" s="540"/>
      <c r="G116" s="540"/>
      <c r="H116" s="540"/>
      <c r="I116" s="540"/>
      <c r="J116" s="147"/>
      <c r="K116" s="1"/>
      <c r="L116" s="1"/>
    </row>
    <row r="117" spans="1:12" ht="42.75" customHeight="1" hidden="1">
      <c r="A117" s="37">
        <v>3</v>
      </c>
      <c r="B117" s="540" t="s">
        <v>79</v>
      </c>
      <c r="C117" s="540"/>
      <c r="D117" s="540"/>
      <c r="E117" s="540"/>
      <c r="F117" s="540"/>
      <c r="G117" s="540"/>
      <c r="H117" s="540"/>
      <c r="I117" s="540"/>
      <c r="J117" s="147"/>
      <c r="K117" s="1"/>
      <c r="L117" s="1"/>
    </row>
    <row r="118" spans="1:12" ht="231" customHeight="1" hidden="1">
      <c r="A118" s="37">
        <v>4</v>
      </c>
      <c r="B118" s="540" t="s">
        <v>88</v>
      </c>
      <c r="C118" s="540"/>
      <c r="D118" s="540"/>
      <c r="E118" s="540"/>
      <c r="F118" s="540"/>
      <c r="G118" s="540"/>
      <c r="H118" s="540"/>
      <c r="I118" s="540"/>
      <c r="J118" s="147"/>
      <c r="K118" s="1"/>
      <c r="L118" s="1" t="s">
        <v>12</v>
      </c>
    </row>
    <row r="119" spans="1:12" ht="74.25" customHeight="1" hidden="1">
      <c r="A119" s="37">
        <v>5</v>
      </c>
      <c r="B119" s="543" t="s">
        <v>85</v>
      </c>
      <c r="C119" s="543"/>
      <c r="D119" s="543"/>
      <c r="E119" s="543"/>
      <c r="F119" s="543"/>
      <c r="G119" s="543"/>
      <c r="H119" s="543"/>
      <c r="I119" s="543"/>
      <c r="J119" s="150"/>
      <c r="K119" s="1"/>
      <c r="L119" s="1"/>
    </row>
    <row r="120" spans="1:12" ht="60.75" customHeight="1" hidden="1">
      <c r="A120" s="37">
        <v>6</v>
      </c>
      <c r="B120" s="544" t="s">
        <v>80</v>
      </c>
      <c r="C120" s="540"/>
      <c r="D120" s="540"/>
      <c r="E120" s="540"/>
      <c r="F120" s="540"/>
      <c r="G120" s="540"/>
      <c r="H120" s="540"/>
      <c r="I120" s="540"/>
      <c r="J120" s="147"/>
      <c r="K120" s="1"/>
      <c r="L120" s="1"/>
    </row>
    <row r="121" spans="1:10" ht="24" customHeight="1" hidden="1">
      <c r="A121" s="37">
        <v>7</v>
      </c>
      <c r="B121" s="544" t="s">
        <v>81</v>
      </c>
      <c r="C121" s="540"/>
      <c r="D121" s="540"/>
      <c r="E121" s="540"/>
      <c r="F121" s="540"/>
      <c r="G121" s="540"/>
      <c r="H121" s="540"/>
      <c r="I121" s="540"/>
      <c r="J121" s="147"/>
    </row>
    <row r="122" spans="1:10" ht="78.75" customHeight="1" hidden="1">
      <c r="A122" s="37">
        <v>8</v>
      </c>
      <c r="B122" s="545" t="s">
        <v>83</v>
      </c>
      <c r="C122" s="545"/>
      <c r="D122" s="545"/>
      <c r="E122" s="545"/>
      <c r="F122" s="545"/>
      <c r="G122" s="545"/>
      <c r="H122" s="545"/>
      <c r="I122" s="545"/>
      <c r="J122" s="151"/>
    </row>
    <row r="123" spans="1:10" ht="15.75" hidden="1">
      <c r="A123" s="38"/>
      <c r="B123" s="33"/>
      <c r="C123" s="40"/>
      <c r="D123" s="40"/>
      <c r="E123" s="40"/>
      <c r="F123" s="40"/>
      <c r="G123" s="40"/>
      <c r="H123" s="40"/>
      <c r="I123" s="40"/>
      <c r="J123" s="41"/>
    </row>
    <row r="124" spans="1:10" ht="18" hidden="1">
      <c r="A124" s="38"/>
      <c r="B124" s="41"/>
      <c r="C124" s="42"/>
      <c r="D124" s="42"/>
      <c r="E124" s="42"/>
      <c r="F124" s="42"/>
      <c r="G124" s="42"/>
      <c r="H124" s="42"/>
      <c r="I124" s="42"/>
      <c r="J124" s="41"/>
    </row>
    <row r="125" spans="1:10" ht="12.75" hidden="1">
      <c r="A125" s="41"/>
      <c r="B125" s="41"/>
      <c r="C125" s="39"/>
      <c r="D125" s="39"/>
      <c r="E125" s="39"/>
      <c r="F125" s="39"/>
      <c r="G125" s="39"/>
      <c r="H125" s="39"/>
      <c r="I125" s="39"/>
      <c r="J125" s="41"/>
    </row>
    <row r="126" spans="1:10" ht="12.75" hidden="1">
      <c r="A126" s="41"/>
      <c r="B126" s="41"/>
      <c r="C126" s="39"/>
      <c r="D126" s="39"/>
      <c r="E126" s="39"/>
      <c r="F126" s="39"/>
      <c r="G126" s="39"/>
      <c r="H126" s="39"/>
      <c r="I126" s="39"/>
      <c r="J126" s="41"/>
    </row>
    <row r="127" spans="1:10" ht="12.75" hidden="1">
      <c r="A127" s="41"/>
      <c r="B127" s="41"/>
      <c r="C127" s="39"/>
      <c r="D127" s="39"/>
      <c r="E127" s="39"/>
      <c r="F127" s="39"/>
      <c r="G127" s="39"/>
      <c r="H127" s="39"/>
      <c r="I127" s="39"/>
      <c r="J127" s="41"/>
    </row>
    <row r="128" spans="1:10" ht="12.75" hidden="1">
      <c r="A128" s="41"/>
      <c r="B128" s="41"/>
      <c r="C128" s="39"/>
      <c r="D128" s="39"/>
      <c r="E128" s="39"/>
      <c r="F128" s="39"/>
      <c r="G128" s="39"/>
      <c r="H128" s="39"/>
      <c r="I128" s="39"/>
      <c r="J128" s="41"/>
    </row>
    <row r="129" spans="1:10" ht="16.5" hidden="1">
      <c r="A129" s="41"/>
      <c r="B129" s="43" t="s">
        <v>39</v>
      </c>
      <c r="C129" s="43"/>
      <c r="D129" s="43"/>
      <c r="E129" s="43"/>
      <c r="F129" s="43"/>
      <c r="G129" s="43"/>
      <c r="H129" s="43"/>
      <c r="I129" s="43"/>
      <c r="J129" s="41"/>
    </row>
    <row r="130" spans="1:10" ht="16.5" hidden="1">
      <c r="A130" s="41"/>
      <c r="B130" s="44" t="s">
        <v>77</v>
      </c>
      <c r="C130" s="45"/>
      <c r="D130" s="45"/>
      <c r="E130" s="45"/>
      <c r="F130" s="45"/>
      <c r="G130" s="45"/>
      <c r="H130" s="45"/>
      <c r="I130" s="45"/>
      <c r="J130" s="41"/>
    </row>
    <row r="131" spans="1:10" ht="16.5" hidden="1">
      <c r="A131" s="41"/>
      <c r="B131" s="44"/>
      <c r="C131" s="41"/>
      <c r="D131" s="41"/>
      <c r="E131" s="41"/>
      <c r="F131" s="41"/>
      <c r="G131" s="41"/>
      <c r="H131" s="41"/>
      <c r="I131" s="41"/>
      <c r="J131" s="45"/>
    </row>
    <row r="132" spans="1:10" ht="22.5" customHeight="1" hidden="1">
      <c r="A132" s="41"/>
      <c r="B132" s="541" t="s">
        <v>47</v>
      </c>
      <c r="C132" s="542"/>
      <c r="D132" s="542"/>
      <c r="E132" s="542"/>
      <c r="F132" s="542"/>
      <c r="G132" s="542"/>
      <c r="H132" s="542"/>
      <c r="I132" s="542"/>
      <c r="J132" s="165"/>
    </row>
    <row r="133" spans="1:10" ht="12.75" hidden="1">
      <c r="A133" s="41"/>
      <c r="B133" s="41"/>
      <c r="C133" s="41"/>
      <c r="D133" s="41"/>
      <c r="E133" s="41"/>
      <c r="F133" s="41"/>
      <c r="G133" s="41"/>
      <c r="H133" s="41"/>
      <c r="I133" s="41"/>
      <c r="J133" s="41"/>
    </row>
    <row r="134" spans="1:10" ht="15.75" hidden="1">
      <c r="A134" s="41"/>
      <c r="B134" s="46" t="s">
        <v>48</v>
      </c>
      <c r="C134" s="46"/>
      <c r="D134" s="46"/>
      <c r="E134" s="46"/>
      <c r="F134" s="46"/>
      <c r="G134" s="46"/>
      <c r="H134" s="46"/>
      <c r="I134" s="46"/>
      <c r="J134" s="46"/>
    </row>
    <row r="135" spans="1:10" ht="14.25" hidden="1">
      <c r="A135" s="41"/>
      <c r="B135" s="47" t="s">
        <v>49</v>
      </c>
      <c r="C135" s="41"/>
      <c r="D135" s="41"/>
      <c r="E135" s="41"/>
      <c r="F135" s="41"/>
      <c r="G135" s="41"/>
      <c r="H135" s="41"/>
      <c r="I135" s="41"/>
      <c r="J135" s="41"/>
    </row>
    <row r="136" spans="1:10" ht="14.25" hidden="1">
      <c r="A136" s="41"/>
      <c r="B136" s="47"/>
      <c r="C136" s="41"/>
      <c r="D136" s="41"/>
      <c r="E136" s="41"/>
      <c r="F136" s="41"/>
      <c r="G136" s="41"/>
      <c r="H136" s="41"/>
      <c r="I136" s="41"/>
      <c r="J136" s="41"/>
    </row>
    <row r="137" spans="1:10" ht="14.25" hidden="1">
      <c r="A137" s="41"/>
      <c r="B137" s="47"/>
      <c r="C137" s="41"/>
      <c r="D137" s="41"/>
      <c r="E137" s="41"/>
      <c r="F137" s="41"/>
      <c r="G137" s="41"/>
      <c r="H137" s="41"/>
      <c r="I137" s="41"/>
      <c r="J137" s="41"/>
    </row>
    <row r="138" spans="1:10" ht="14.25" hidden="1">
      <c r="A138" s="41"/>
      <c r="B138" s="47"/>
      <c r="C138" s="41"/>
      <c r="D138" s="41"/>
      <c r="E138" s="41"/>
      <c r="F138" s="41"/>
      <c r="G138" s="41"/>
      <c r="H138" s="41"/>
      <c r="I138" s="41"/>
      <c r="J138" s="41"/>
    </row>
    <row r="139" spans="1:10" ht="14.25" hidden="1">
      <c r="A139" s="41"/>
      <c r="B139" s="47"/>
      <c r="C139" s="41"/>
      <c r="D139" s="41"/>
      <c r="E139" s="41"/>
      <c r="F139" s="41"/>
      <c r="G139" s="41"/>
      <c r="H139" s="41"/>
      <c r="I139" s="41"/>
      <c r="J139" s="41"/>
    </row>
    <row r="140" spans="1:10" ht="15" hidden="1">
      <c r="A140" s="41"/>
      <c r="B140" s="48" t="s">
        <v>60</v>
      </c>
      <c r="C140" s="49"/>
      <c r="D140" s="49"/>
      <c r="E140" s="49"/>
      <c r="F140" s="49"/>
      <c r="G140" s="49"/>
      <c r="H140" s="49"/>
      <c r="I140" s="49"/>
      <c r="J140" s="49"/>
    </row>
    <row r="141" spans="1:10" ht="14.25" hidden="1">
      <c r="A141" s="41"/>
      <c r="B141" s="47" t="s">
        <v>50</v>
      </c>
      <c r="C141" s="41"/>
      <c r="D141" s="41"/>
      <c r="E141" s="41"/>
      <c r="F141" s="41"/>
      <c r="G141" s="41"/>
      <c r="H141" s="41"/>
      <c r="I141" s="41"/>
      <c r="J141" s="41"/>
    </row>
    <row r="142" spans="1:10" ht="14.25" hidden="1">
      <c r="A142" s="41"/>
      <c r="B142" s="47"/>
      <c r="C142" s="41"/>
      <c r="D142" s="41"/>
      <c r="E142" s="41"/>
      <c r="F142" s="41"/>
      <c r="G142" s="41"/>
      <c r="H142" s="41"/>
      <c r="I142" s="41"/>
      <c r="J142" s="41"/>
    </row>
    <row r="143" spans="1:10" ht="14.25" hidden="1">
      <c r="A143" s="41"/>
      <c r="B143" s="50" t="s">
        <v>87</v>
      </c>
      <c r="C143" s="41"/>
      <c r="D143" s="41"/>
      <c r="E143" s="41"/>
      <c r="F143" s="41"/>
      <c r="G143" s="41"/>
      <c r="H143" s="41"/>
      <c r="I143" s="41"/>
      <c r="J143" s="41"/>
    </row>
    <row r="163" spans="2:12" ht="18.75" customHeight="1">
      <c r="B163" s="31"/>
      <c r="C163" s="31"/>
      <c r="D163" s="31"/>
      <c r="E163" s="31"/>
      <c r="F163" s="31"/>
      <c r="G163" s="31"/>
      <c r="H163" s="31"/>
      <c r="I163" s="31"/>
      <c r="J163" s="31"/>
      <c r="K163" s="31"/>
      <c r="L163" s="31"/>
    </row>
    <row r="164" ht="12.75" customHeight="1">
      <c r="B164" s="30"/>
    </row>
    <row r="165" ht="12.75" customHeight="1"/>
    <row r="166" ht="12.75" customHeight="1"/>
    <row r="167" ht="12.75" customHeight="1"/>
    <row r="168" ht="12.75" customHeight="1"/>
    <row r="169" ht="12.75" customHeight="1"/>
    <row r="170" ht="12.75" customHeight="1"/>
  </sheetData>
  <sheetProtection/>
  <mergeCells count="38">
    <mergeCell ref="G49:H49"/>
    <mergeCell ref="A1:I1"/>
    <mergeCell ref="A2:I2"/>
    <mergeCell ref="C7:D7"/>
    <mergeCell ref="C6:I6"/>
    <mergeCell ref="A4:I4"/>
    <mergeCell ref="G7:H7"/>
    <mergeCell ref="E7:F7"/>
    <mergeCell ref="A6:A10"/>
    <mergeCell ref="D8:D9"/>
    <mergeCell ref="C8:C9"/>
    <mergeCell ref="B117:I117"/>
    <mergeCell ref="B115:I115"/>
    <mergeCell ref="B116:I116"/>
    <mergeCell ref="I8:I9"/>
    <mergeCell ref="C48:I48"/>
    <mergeCell ref="E50:E51"/>
    <mergeCell ref="F50:F51"/>
    <mergeCell ref="E49:F49"/>
    <mergeCell ref="C49:D49"/>
    <mergeCell ref="A86:A89"/>
    <mergeCell ref="A45:I45"/>
    <mergeCell ref="A46:I46"/>
    <mergeCell ref="G50:G51"/>
    <mergeCell ref="C50:C51"/>
    <mergeCell ref="A48:A52"/>
    <mergeCell ref="A64:A67"/>
    <mergeCell ref="A84:A85"/>
    <mergeCell ref="H50:H51"/>
    <mergeCell ref="A68:A71"/>
    <mergeCell ref="D50:D51"/>
    <mergeCell ref="B118:I118"/>
    <mergeCell ref="B132:I132"/>
    <mergeCell ref="B119:I119"/>
    <mergeCell ref="B120:I120"/>
    <mergeCell ref="B121:I121"/>
    <mergeCell ref="B122:I122"/>
    <mergeCell ref="I50:I51"/>
  </mergeCells>
  <printOptions/>
  <pageMargins left="0.25" right="0.25" top="0.5" bottom="0.25" header="0.5" footer="0.5"/>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2:AD29"/>
  <sheetViews>
    <sheetView zoomScalePageLayoutView="0" workbookViewId="0" topLeftCell="A1">
      <selection activeCell="E4" sqref="E4"/>
    </sheetView>
  </sheetViews>
  <sheetFormatPr defaultColWidth="9.140625" defaultRowHeight="12.75"/>
  <cols>
    <col min="1" max="1" width="4.421875" style="13" customWidth="1"/>
    <col min="2" max="2" width="15.8515625" style="13" customWidth="1"/>
    <col min="3" max="3" width="13.00390625" style="13" customWidth="1"/>
    <col min="4" max="4" width="13.00390625" style="13" hidden="1" customWidth="1"/>
    <col min="5" max="5" width="12.140625" style="13" bestFit="1" customWidth="1"/>
    <col min="6" max="6" width="10.7109375" style="13" customWidth="1"/>
    <col min="7" max="7" width="12.00390625" style="13" customWidth="1"/>
    <col min="8" max="8" width="10.00390625" style="13" bestFit="1" customWidth="1"/>
    <col min="9" max="9" width="10.00390625" style="13" customWidth="1"/>
    <col min="10" max="10" width="10.140625" style="13" customWidth="1"/>
    <col min="11" max="11" width="9.00390625" style="13" hidden="1" customWidth="1"/>
    <col min="12" max="13" width="9.28125" style="13" hidden="1" customWidth="1"/>
    <col min="14" max="15" width="9.421875" style="13" hidden="1" customWidth="1"/>
    <col min="16" max="16" width="9.7109375" style="13" hidden="1" customWidth="1"/>
    <col min="17" max="18" width="10.28125" style="13" bestFit="1" customWidth="1"/>
    <col min="19" max="19" width="10.7109375" style="13" bestFit="1" customWidth="1"/>
    <col min="20" max="20" width="11.28125" style="13" hidden="1" customWidth="1"/>
    <col min="21" max="21" width="13.00390625" style="13" hidden="1" customWidth="1"/>
    <col min="22" max="22" width="13.421875" style="13" customWidth="1"/>
    <col min="23" max="23" width="14.00390625" style="13" customWidth="1"/>
    <col min="24" max="24" width="13.140625" style="13" hidden="1" customWidth="1"/>
    <col min="25" max="25" width="10.421875" style="13" hidden="1" customWidth="1"/>
    <col min="26" max="27" width="12.140625" style="13" hidden="1" customWidth="1"/>
    <col min="28" max="30" width="0" style="13" hidden="1" customWidth="1"/>
    <col min="31" max="16384" width="9.140625" style="13" customWidth="1"/>
  </cols>
  <sheetData>
    <row r="2" spans="8:30" ht="11.25">
      <c r="H2" s="576" t="s">
        <v>12</v>
      </c>
      <c r="I2" s="576"/>
      <c r="J2" s="576"/>
      <c r="K2" s="576"/>
      <c r="L2" s="576"/>
      <c r="M2" s="576"/>
      <c r="N2" s="576"/>
      <c r="O2" s="576"/>
      <c r="P2" s="576"/>
      <c r="Q2" s="576"/>
      <c r="R2" s="576"/>
      <c r="S2" s="576"/>
      <c r="T2" s="576"/>
      <c r="U2" s="576"/>
      <c r="V2" s="576"/>
      <c r="W2" s="576"/>
      <c r="X2" s="576"/>
      <c r="Y2" s="576"/>
      <c r="Z2" s="576"/>
      <c r="AA2" s="576"/>
      <c r="AB2" s="576"/>
      <c r="AC2" s="576"/>
      <c r="AD2" s="576"/>
    </row>
    <row r="3" spans="1:23" ht="11.25">
      <c r="A3" s="576" t="s">
        <v>11</v>
      </c>
      <c r="B3" s="576"/>
      <c r="C3" s="576"/>
      <c r="D3" s="576"/>
      <c r="E3" s="576"/>
      <c r="F3" s="576"/>
      <c r="G3" s="576"/>
      <c r="H3" s="576"/>
      <c r="I3" s="576"/>
      <c r="J3" s="576"/>
      <c r="K3" s="576"/>
      <c r="L3" s="576"/>
      <c r="M3" s="576"/>
      <c r="N3" s="576"/>
      <c r="O3" s="576"/>
      <c r="P3" s="576"/>
      <c r="Q3" s="576"/>
      <c r="R3" s="576"/>
      <c r="S3" s="576"/>
      <c r="T3" s="576"/>
      <c r="U3" s="576"/>
      <c r="V3" s="576"/>
      <c r="W3" s="576"/>
    </row>
    <row r="4" spans="1:23" ht="11.25">
      <c r="A4" s="61" t="s">
        <v>204</v>
      </c>
      <c r="B4" s="14"/>
      <c r="C4" s="14"/>
      <c r="D4" s="14"/>
      <c r="E4" s="14"/>
      <c r="F4" s="14"/>
      <c r="G4" s="14"/>
      <c r="H4" s="14"/>
      <c r="I4" s="14"/>
      <c r="J4" s="14"/>
      <c r="K4" s="14"/>
      <c r="L4" s="14"/>
      <c r="M4" s="14"/>
      <c r="N4" s="14"/>
      <c r="O4" s="14"/>
      <c r="P4" s="14"/>
      <c r="Q4" s="14"/>
      <c r="R4" s="14"/>
      <c r="S4" s="14"/>
      <c r="T4" s="14" t="s">
        <v>12</v>
      </c>
      <c r="U4" s="14"/>
      <c r="V4" s="14" t="s">
        <v>12</v>
      </c>
      <c r="W4" s="14"/>
    </row>
    <row r="5" spans="1:23" ht="11.25">
      <c r="A5" s="14"/>
      <c r="B5" s="14"/>
      <c r="C5" s="14"/>
      <c r="D5" s="14"/>
      <c r="E5" s="14"/>
      <c r="F5" s="14"/>
      <c r="G5" s="14"/>
      <c r="H5" s="14"/>
      <c r="I5" s="14"/>
      <c r="J5" s="14"/>
      <c r="K5" s="14"/>
      <c r="L5" s="14"/>
      <c r="M5" s="14"/>
      <c r="N5" s="14"/>
      <c r="O5" s="14"/>
      <c r="P5" s="14"/>
      <c r="Q5" s="14"/>
      <c r="R5" s="14"/>
      <c r="S5" s="14"/>
      <c r="T5" s="14"/>
      <c r="U5" s="14"/>
      <c r="V5" s="14"/>
      <c r="W5" s="14"/>
    </row>
    <row r="6" spans="1:23" ht="11.25">
      <c r="A6" s="61" t="s">
        <v>12</v>
      </c>
      <c r="B6" s="14"/>
      <c r="C6" s="14"/>
      <c r="D6" s="14"/>
      <c r="E6" s="14" t="s">
        <v>205</v>
      </c>
      <c r="F6" s="14"/>
      <c r="G6" s="14"/>
      <c r="H6" s="14"/>
      <c r="I6" s="14"/>
      <c r="J6" s="14"/>
      <c r="K6" s="14"/>
      <c r="L6" s="14"/>
      <c r="M6" s="14"/>
      <c r="N6" s="14"/>
      <c r="O6" s="14"/>
      <c r="P6" s="14"/>
      <c r="Q6" s="14"/>
      <c r="R6" s="14"/>
      <c r="S6" s="14"/>
      <c r="T6" s="14"/>
      <c r="U6" s="14"/>
      <c r="V6" s="14"/>
      <c r="W6" s="14" t="s">
        <v>12</v>
      </c>
    </row>
    <row r="7" spans="1:23" ht="11.25">
      <c r="A7" s="14"/>
      <c r="B7" s="14" t="s">
        <v>12</v>
      </c>
      <c r="C7" s="14"/>
      <c r="D7" s="14"/>
      <c r="E7" s="14"/>
      <c r="F7" s="14"/>
      <c r="G7" s="14"/>
      <c r="H7" s="14"/>
      <c r="I7" s="14"/>
      <c r="J7" s="14"/>
      <c r="K7" s="14"/>
      <c r="L7" s="14"/>
      <c r="M7" s="14"/>
      <c r="N7" s="14"/>
      <c r="O7" s="14"/>
      <c r="P7" s="14"/>
      <c r="Q7" s="14"/>
      <c r="R7" s="14"/>
      <c r="S7" s="14"/>
      <c r="T7" s="14"/>
      <c r="U7" s="14"/>
      <c r="V7" s="14" t="s">
        <v>94</v>
      </c>
      <c r="W7" s="14"/>
    </row>
    <row r="8" spans="1:23" ht="11.25">
      <c r="A8" s="574" t="s">
        <v>19</v>
      </c>
      <c r="B8" s="575" t="s">
        <v>15</v>
      </c>
      <c r="C8" s="63"/>
      <c r="D8" s="63"/>
      <c r="E8" s="63"/>
      <c r="F8" s="63"/>
      <c r="G8" s="64" t="s">
        <v>29</v>
      </c>
      <c r="H8" s="65"/>
      <c r="I8" s="65"/>
      <c r="J8" s="65"/>
      <c r="K8" s="65"/>
      <c r="L8" s="65"/>
      <c r="M8" s="65"/>
      <c r="N8" s="65"/>
      <c r="O8" s="65"/>
      <c r="P8" s="65"/>
      <c r="Q8" s="65"/>
      <c r="R8" s="65"/>
      <c r="S8" s="65"/>
      <c r="T8" s="65"/>
      <c r="U8" s="65"/>
      <c r="V8" s="65"/>
      <c r="W8" s="65"/>
    </row>
    <row r="9" spans="1:23" ht="67.5">
      <c r="A9" s="574"/>
      <c r="B9" s="575"/>
      <c r="C9" s="66" t="s">
        <v>93</v>
      </c>
      <c r="D9" s="200" t="s">
        <v>197</v>
      </c>
      <c r="E9" s="62" t="s">
        <v>156</v>
      </c>
      <c r="F9" s="62" t="s">
        <v>105</v>
      </c>
      <c r="G9" s="62" t="s">
        <v>153</v>
      </c>
      <c r="H9" s="62" t="s">
        <v>90</v>
      </c>
      <c r="I9" s="62" t="s">
        <v>154</v>
      </c>
      <c r="J9" s="62" t="s">
        <v>157</v>
      </c>
      <c r="K9" s="62" t="s">
        <v>53</v>
      </c>
      <c r="L9" s="62" t="s">
        <v>106</v>
      </c>
      <c r="M9" s="62" t="s">
        <v>107</v>
      </c>
      <c r="N9" s="62" t="s">
        <v>139</v>
      </c>
      <c r="O9" s="62" t="s">
        <v>199</v>
      </c>
      <c r="P9" s="62" t="s">
        <v>54</v>
      </c>
      <c r="Q9" s="62" t="s">
        <v>4</v>
      </c>
      <c r="R9" s="62" t="s">
        <v>155</v>
      </c>
      <c r="S9" s="62" t="s">
        <v>108</v>
      </c>
      <c r="T9" s="62" t="s">
        <v>9</v>
      </c>
      <c r="U9" s="62" t="s">
        <v>8</v>
      </c>
      <c r="V9" s="62" t="s">
        <v>40</v>
      </c>
      <c r="W9" s="67" t="s">
        <v>41</v>
      </c>
    </row>
    <row r="10" spans="1:23" ht="11.25">
      <c r="A10" s="65">
        <v>1</v>
      </c>
      <c r="B10" s="69" t="s">
        <v>18</v>
      </c>
      <c r="C10" s="70">
        <f>1643.31+2.52</f>
        <v>1645.83</v>
      </c>
      <c r="D10" s="70">
        <v>0</v>
      </c>
      <c r="E10" s="70">
        <f>153.5</f>
        <v>153.5</v>
      </c>
      <c r="F10" s="70">
        <f>47.64</f>
        <v>47.64</v>
      </c>
      <c r="G10" s="70">
        <f>750.07+8.78</f>
        <v>758.85</v>
      </c>
      <c r="H10" s="70">
        <f>93.52</f>
        <v>93.52</v>
      </c>
      <c r="I10" s="70">
        <f>126.57</f>
        <v>126.57</v>
      </c>
      <c r="J10" s="70">
        <v>35.73</v>
      </c>
      <c r="K10" s="70">
        <v>22.77</v>
      </c>
      <c r="L10" s="70">
        <v>21.99</v>
      </c>
      <c r="M10" s="70">
        <v>8.02</v>
      </c>
      <c r="N10" s="70">
        <v>8.37</v>
      </c>
      <c r="O10" s="70">
        <v>0</v>
      </c>
      <c r="P10" s="70">
        <v>0</v>
      </c>
      <c r="Q10" s="70">
        <f>58.81</f>
        <v>58.81</v>
      </c>
      <c r="R10" s="70">
        <v>66.93</v>
      </c>
      <c r="S10" s="70">
        <v>53.59</v>
      </c>
      <c r="T10" s="70">
        <v>0</v>
      </c>
      <c r="U10" s="70">
        <v>0</v>
      </c>
      <c r="V10" s="70">
        <f>5.69+9.98</f>
        <v>15.670000000000002</v>
      </c>
      <c r="W10" s="70">
        <f>3034.91+21.28</f>
        <v>3056.19</v>
      </c>
    </row>
    <row r="11" spans="1:23" ht="11.25">
      <c r="A11" s="65">
        <v>2</v>
      </c>
      <c r="B11" s="71" t="s">
        <v>163</v>
      </c>
      <c r="C11" s="70">
        <v>691.69</v>
      </c>
      <c r="D11" s="70">
        <v>0</v>
      </c>
      <c r="E11" s="70">
        <v>-3.59</v>
      </c>
      <c r="F11" s="70">
        <v>3.79</v>
      </c>
      <c r="G11" s="70">
        <v>268.28</v>
      </c>
      <c r="H11" s="70">
        <v>-1.08</v>
      </c>
      <c r="I11" s="70">
        <f>37.84</f>
        <v>37.84</v>
      </c>
      <c r="J11" s="70">
        <v>8.29</v>
      </c>
      <c r="K11" s="70">
        <v>-0.059999999999999415</v>
      </c>
      <c r="L11" s="70">
        <v>5.28</v>
      </c>
      <c r="M11" s="70">
        <v>0.5999999999999981</v>
      </c>
      <c r="N11" s="70">
        <v>-1.39</v>
      </c>
      <c r="O11" s="70">
        <v>-3.74</v>
      </c>
      <c r="P11" s="70">
        <v>-0.66</v>
      </c>
      <c r="Q11" s="70">
        <v>-3.95</v>
      </c>
      <c r="R11" s="70">
        <v>58.38</v>
      </c>
      <c r="S11" s="70">
        <v>35.1</v>
      </c>
      <c r="T11" s="70">
        <v>0</v>
      </c>
      <c r="U11" s="70">
        <v>0</v>
      </c>
      <c r="V11" s="70">
        <v>-169.19</v>
      </c>
      <c r="W11" s="70">
        <v>925.56</v>
      </c>
    </row>
    <row r="13" spans="5:15" ht="12.75">
      <c r="E13" s="14" t="s">
        <v>206</v>
      </c>
      <c r="N13" s="91"/>
      <c r="O13" s="91"/>
    </row>
    <row r="14" spans="1:23" ht="11.25">
      <c r="A14" s="574" t="s">
        <v>19</v>
      </c>
      <c r="B14" s="575" t="s">
        <v>15</v>
      </c>
      <c r="C14" s="63"/>
      <c r="D14" s="63"/>
      <c r="E14" s="63"/>
      <c r="F14" s="63"/>
      <c r="G14" s="64" t="s">
        <v>29</v>
      </c>
      <c r="H14" s="65"/>
      <c r="I14" s="65"/>
      <c r="J14" s="65"/>
      <c r="K14" s="65"/>
      <c r="L14" s="65"/>
      <c r="M14" s="65"/>
      <c r="N14" s="65"/>
      <c r="O14" s="65"/>
      <c r="P14" s="65"/>
      <c r="Q14" s="65"/>
      <c r="R14" s="65"/>
      <c r="S14" s="65"/>
      <c r="T14" s="65"/>
      <c r="U14" s="65"/>
      <c r="V14" s="65"/>
      <c r="W14" s="65"/>
    </row>
    <row r="15" spans="1:23" ht="67.5">
      <c r="A15" s="574"/>
      <c r="B15" s="575"/>
      <c r="C15" s="66" t="s">
        <v>93</v>
      </c>
      <c r="D15" s="200" t="s">
        <v>197</v>
      </c>
      <c r="E15" s="62" t="s">
        <v>156</v>
      </c>
      <c r="F15" s="62" t="s">
        <v>105</v>
      </c>
      <c r="G15" s="62" t="s">
        <v>153</v>
      </c>
      <c r="H15" s="62" t="s">
        <v>90</v>
      </c>
      <c r="I15" s="62" t="s">
        <v>154</v>
      </c>
      <c r="J15" s="62" t="s">
        <v>157</v>
      </c>
      <c r="K15" s="62" t="s">
        <v>53</v>
      </c>
      <c r="L15" s="62" t="s">
        <v>106</v>
      </c>
      <c r="M15" s="62" t="s">
        <v>107</v>
      </c>
      <c r="N15" s="62" t="s">
        <v>139</v>
      </c>
      <c r="O15" s="62" t="s">
        <v>199</v>
      </c>
      <c r="P15" s="62" t="s">
        <v>54</v>
      </c>
      <c r="Q15" s="62" t="s">
        <v>4</v>
      </c>
      <c r="R15" s="62" t="s">
        <v>155</v>
      </c>
      <c r="S15" s="62" t="s">
        <v>108</v>
      </c>
      <c r="T15" s="62" t="s">
        <v>9</v>
      </c>
      <c r="U15" s="62" t="s">
        <v>8</v>
      </c>
      <c r="V15" s="62" t="s">
        <v>40</v>
      </c>
      <c r="W15" s="67" t="s">
        <v>41</v>
      </c>
    </row>
    <row r="16" spans="1:23" ht="11.25">
      <c r="A16" s="65">
        <v>1</v>
      </c>
      <c r="B16" s="69" t="s">
        <v>18</v>
      </c>
      <c r="C16" s="70">
        <f>1556.37+5.29</f>
        <v>1561.6599999999999</v>
      </c>
      <c r="D16" s="70">
        <v>0</v>
      </c>
      <c r="E16" s="70">
        <f>150.04</f>
        <v>150.04</v>
      </c>
      <c r="F16" s="70">
        <f>35.56</f>
        <v>35.56</v>
      </c>
      <c r="G16" s="70">
        <f>775.2+6.62</f>
        <v>781.82</v>
      </c>
      <c r="H16" s="70">
        <f>86.44</f>
        <v>86.44</v>
      </c>
      <c r="I16" s="70">
        <v>124.06</v>
      </c>
      <c r="J16" s="70">
        <v>30.69</v>
      </c>
      <c r="K16" s="70">
        <v>22.77</v>
      </c>
      <c r="L16" s="70">
        <v>21.99</v>
      </c>
      <c r="M16" s="70">
        <v>8.02</v>
      </c>
      <c r="N16" s="70">
        <v>8.37</v>
      </c>
      <c r="O16" s="70">
        <v>0</v>
      </c>
      <c r="P16" s="70">
        <v>0</v>
      </c>
      <c r="Q16" s="70">
        <f>42.42+0.09</f>
        <v>42.510000000000005</v>
      </c>
      <c r="R16" s="70">
        <v>65.48</v>
      </c>
      <c r="S16" s="70">
        <v>81.02</v>
      </c>
      <c r="T16" s="70">
        <v>0</v>
      </c>
      <c r="U16" s="70">
        <v>0</v>
      </c>
      <c r="V16" s="70">
        <f>28.69+32.16</f>
        <v>60.849999999999994</v>
      </c>
      <c r="W16" s="70">
        <f>2975.87+44.16</f>
        <v>3020.0299999999997</v>
      </c>
    </row>
    <row r="17" spans="1:23" ht="11.25">
      <c r="A17" s="65">
        <v>2</v>
      </c>
      <c r="B17" s="71" t="s">
        <v>163</v>
      </c>
      <c r="C17" s="70">
        <v>611.93</v>
      </c>
      <c r="D17" s="70">
        <v>0</v>
      </c>
      <c r="E17" s="70">
        <v>15.87</v>
      </c>
      <c r="F17" s="70">
        <v>-8.55</v>
      </c>
      <c r="G17" s="70">
        <v>262.06</v>
      </c>
      <c r="H17" s="70">
        <v>-5.92</v>
      </c>
      <c r="I17" s="70">
        <v>35.8</v>
      </c>
      <c r="J17" s="70">
        <v>2.29</v>
      </c>
      <c r="K17" s="70">
        <v>-0.059999999999999415</v>
      </c>
      <c r="L17" s="70">
        <v>5.28</v>
      </c>
      <c r="M17" s="70">
        <v>0.5999999999999981</v>
      </c>
      <c r="N17" s="70">
        <v>-1.39</v>
      </c>
      <c r="O17" s="70">
        <v>-3.74</v>
      </c>
      <c r="P17" s="70">
        <v>-0.66</v>
      </c>
      <c r="Q17" s="70">
        <v>-9.17</v>
      </c>
      <c r="R17" s="70">
        <v>64.61</v>
      </c>
      <c r="S17" s="70">
        <v>55.39</v>
      </c>
      <c r="T17" s="70">
        <v>0</v>
      </c>
      <c r="U17" s="70">
        <v>0</v>
      </c>
      <c r="V17" s="70">
        <f>-137.79</f>
        <v>-137.79</v>
      </c>
      <c r="W17" s="70">
        <f>886.52</f>
        <v>886.52</v>
      </c>
    </row>
    <row r="18" spans="14:15" ht="12.75">
      <c r="N18" s="91"/>
      <c r="O18" s="91"/>
    </row>
    <row r="19" spans="5:15" ht="12.75">
      <c r="E19" s="14" t="s">
        <v>201</v>
      </c>
      <c r="N19" s="91"/>
      <c r="O19" s="91"/>
    </row>
    <row r="20" spans="1:23" ht="11.25">
      <c r="A20" s="14"/>
      <c r="B20" s="14" t="s">
        <v>12</v>
      </c>
      <c r="C20" s="14"/>
      <c r="D20" s="14"/>
      <c r="E20" s="14"/>
      <c r="F20" s="14"/>
      <c r="G20" s="14"/>
      <c r="H20" s="14"/>
      <c r="I20" s="14"/>
      <c r="J20" s="14"/>
      <c r="K20" s="14"/>
      <c r="L20" s="14"/>
      <c r="M20" s="14"/>
      <c r="N20" s="14"/>
      <c r="O20" s="14"/>
      <c r="P20" s="14"/>
      <c r="Q20" s="14"/>
      <c r="R20" s="14"/>
      <c r="S20" s="14"/>
      <c r="T20" s="14"/>
      <c r="U20" s="14"/>
      <c r="V20" s="14" t="s">
        <v>94</v>
      </c>
      <c r="W20" s="14"/>
    </row>
    <row r="21" spans="1:23" ht="11.25">
      <c r="A21" s="574" t="s">
        <v>19</v>
      </c>
      <c r="B21" s="575" t="s">
        <v>15</v>
      </c>
      <c r="C21" s="63"/>
      <c r="D21" s="63"/>
      <c r="E21" s="63"/>
      <c r="F21" s="63"/>
      <c r="G21" s="64" t="s">
        <v>29</v>
      </c>
      <c r="H21" s="65"/>
      <c r="I21" s="65"/>
      <c r="J21" s="65"/>
      <c r="K21" s="65"/>
      <c r="L21" s="65"/>
      <c r="M21" s="65"/>
      <c r="N21" s="65"/>
      <c r="O21" s="65"/>
      <c r="P21" s="65"/>
      <c r="Q21" s="65"/>
      <c r="R21" s="65"/>
      <c r="S21" s="65"/>
      <c r="T21" s="65"/>
      <c r="U21" s="65"/>
      <c r="V21" s="65"/>
      <c r="W21" s="65"/>
    </row>
    <row r="22" spans="1:23" ht="67.5">
      <c r="A22" s="574"/>
      <c r="B22" s="575"/>
      <c r="C22" s="66" t="s">
        <v>93</v>
      </c>
      <c r="D22" s="200" t="s">
        <v>197</v>
      </c>
      <c r="E22" s="62" t="s">
        <v>156</v>
      </c>
      <c r="F22" s="62" t="s">
        <v>105</v>
      </c>
      <c r="G22" s="62" t="s">
        <v>153</v>
      </c>
      <c r="H22" s="62" t="s">
        <v>90</v>
      </c>
      <c r="I22" s="62" t="s">
        <v>154</v>
      </c>
      <c r="J22" s="62" t="s">
        <v>157</v>
      </c>
      <c r="K22" s="62" t="s">
        <v>53</v>
      </c>
      <c r="L22" s="62" t="s">
        <v>106</v>
      </c>
      <c r="M22" s="62" t="s">
        <v>107</v>
      </c>
      <c r="N22" s="62" t="s">
        <v>139</v>
      </c>
      <c r="O22" s="62" t="s">
        <v>199</v>
      </c>
      <c r="P22" s="62" t="s">
        <v>54</v>
      </c>
      <c r="Q22" s="62" t="s">
        <v>4</v>
      </c>
      <c r="R22" s="62" t="s">
        <v>155</v>
      </c>
      <c r="S22" s="62" t="s">
        <v>108</v>
      </c>
      <c r="T22" s="62" t="s">
        <v>9</v>
      </c>
      <c r="U22" s="62" t="s">
        <v>8</v>
      </c>
      <c r="V22" s="62" t="s">
        <v>40</v>
      </c>
      <c r="W22" s="67" t="s">
        <v>41</v>
      </c>
    </row>
    <row r="23" spans="1:23" ht="18" customHeight="1">
      <c r="A23" s="65">
        <v>1</v>
      </c>
      <c r="B23" s="69" t="s">
        <v>18</v>
      </c>
      <c r="C23" s="70">
        <f>1951.53+27.24</f>
        <v>1978.77</v>
      </c>
      <c r="D23" s="70">
        <v>0</v>
      </c>
      <c r="E23" s="70">
        <v>220.11</v>
      </c>
      <c r="F23" s="70">
        <f>56.44+0.37</f>
        <v>56.809999999999995</v>
      </c>
      <c r="G23" s="70">
        <f>798.15+108.47</f>
        <v>906.62</v>
      </c>
      <c r="H23" s="70">
        <v>44.73</v>
      </c>
      <c r="I23" s="70">
        <f>139.47-0.07</f>
        <v>139.4</v>
      </c>
      <c r="J23" s="70">
        <f>61.3+0.14</f>
        <v>61.44</v>
      </c>
      <c r="K23" s="70">
        <v>22.77</v>
      </c>
      <c r="L23" s="70">
        <v>21.99</v>
      </c>
      <c r="M23" s="70">
        <v>8.02</v>
      </c>
      <c r="N23" s="70">
        <v>8.37</v>
      </c>
      <c r="O23" s="70">
        <v>0</v>
      </c>
      <c r="P23" s="70">
        <v>0</v>
      </c>
      <c r="Q23" s="70">
        <f>61.15+0.11</f>
        <v>61.26</v>
      </c>
      <c r="R23" s="70">
        <v>65.37</v>
      </c>
      <c r="S23" s="70">
        <f>71.05+2.11</f>
        <v>73.16</v>
      </c>
      <c r="T23" s="70">
        <v>0</v>
      </c>
      <c r="U23" s="70">
        <v>0</v>
      </c>
      <c r="V23" s="70">
        <f>5.1+15.69</f>
        <v>20.79</v>
      </c>
      <c r="W23" s="70">
        <f>3474.4+154.06</f>
        <v>3628.46</v>
      </c>
    </row>
    <row r="24" spans="1:23" ht="18" customHeight="1">
      <c r="A24" s="65">
        <v>2</v>
      </c>
      <c r="B24" s="71" t="s">
        <v>163</v>
      </c>
      <c r="C24" s="70">
        <v>894.9327777000001</v>
      </c>
      <c r="D24" s="70">
        <v>0</v>
      </c>
      <c r="E24" s="70">
        <v>36.509999999999934</v>
      </c>
      <c r="F24" s="70">
        <v>4.8</v>
      </c>
      <c r="G24" s="70">
        <v>476.53</v>
      </c>
      <c r="H24" s="70">
        <v>6.179999999999971</v>
      </c>
      <c r="I24" s="70">
        <v>42.95</v>
      </c>
      <c r="J24" s="70">
        <v>27.56</v>
      </c>
      <c r="K24" s="70">
        <v>-0.059999999999999415</v>
      </c>
      <c r="L24" s="70">
        <v>5.28</v>
      </c>
      <c r="M24" s="70">
        <v>0.5999999999999981</v>
      </c>
      <c r="N24" s="70">
        <v>-1.39</v>
      </c>
      <c r="O24" s="70">
        <v>-3.74</v>
      </c>
      <c r="P24" s="70">
        <v>-0.66</v>
      </c>
      <c r="Q24" s="70">
        <v>0.029999999999994614</v>
      </c>
      <c r="R24" s="70">
        <v>64.32</v>
      </c>
      <c r="S24" s="70">
        <v>56.05</v>
      </c>
      <c r="T24" s="70">
        <v>0</v>
      </c>
      <c r="U24" s="70">
        <v>0</v>
      </c>
      <c r="V24" s="70">
        <v>-292.79</v>
      </c>
      <c r="W24" s="70">
        <v>1317.0727777000016</v>
      </c>
    </row>
    <row r="26" spans="2:23" ht="11.25">
      <c r="B26" s="14" t="s">
        <v>207</v>
      </c>
      <c r="W26" s="144" t="s">
        <v>12</v>
      </c>
    </row>
    <row r="27" spans="2:23" ht="11.25">
      <c r="B27" s="14"/>
      <c r="W27" s="144"/>
    </row>
    <row r="28" spans="2:23" ht="11.25">
      <c r="B28" s="14" t="s">
        <v>208</v>
      </c>
      <c r="C28" s="201">
        <f>+C23+C16+C10</f>
        <v>5186.26</v>
      </c>
      <c r="E28" s="201">
        <f aca="true" t="shared" si="0" ref="E28:W28">+E23+E16+E10</f>
        <v>523.65</v>
      </c>
      <c r="F28" s="201">
        <f t="shared" si="0"/>
        <v>140.01</v>
      </c>
      <c r="G28" s="201">
        <f t="shared" si="0"/>
        <v>2447.29</v>
      </c>
      <c r="H28" s="201">
        <f t="shared" si="0"/>
        <v>224.69</v>
      </c>
      <c r="I28" s="201">
        <f t="shared" si="0"/>
        <v>390.03000000000003</v>
      </c>
      <c r="J28" s="201">
        <f t="shared" si="0"/>
        <v>127.85999999999999</v>
      </c>
      <c r="K28" s="201">
        <f t="shared" si="0"/>
        <v>68.31</v>
      </c>
      <c r="L28" s="201">
        <f t="shared" si="0"/>
        <v>65.97</v>
      </c>
      <c r="M28" s="201">
        <f t="shared" si="0"/>
        <v>24.06</v>
      </c>
      <c r="N28" s="201">
        <f t="shared" si="0"/>
        <v>25.11</v>
      </c>
      <c r="O28" s="201">
        <f t="shared" si="0"/>
        <v>0</v>
      </c>
      <c r="P28" s="201">
        <f t="shared" si="0"/>
        <v>0</v>
      </c>
      <c r="Q28" s="201">
        <f t="shared" si="0"/>
        <v>162.58</v>
      </c>
      <c r="R28" s="201">
        <f t="shared" si="0"/>
        <v>197.78000000000003</v>
      </c>
      <c r="S28" s="201">
        <f t="shared" si="0"/>
        <v>207.77</v>
      </c>
      <c r="T28" s="201">
        <f t="shared" si="0"/>
        <v>0</v>
      </c>
      <c r="U28" s="201">
        <f t="shared" si="0"/>
        <v>0</v>
      </c>
      <c r="V28" s="201">
        <f t="shared" si="0"/>
        <v>97.30999999999999</v>
      </c>
      <c r="W28" s="201">
        <f t="shared" si="0"/>
        <v>9704.68</v>
      </c>
    </row>
    <row r="29" spans="2:23" ht="11.25">
      <c r="B29" s="14" t="s">
        <v>163</v>
      </c>
      <c r="C29" s="201">
        <f>+C24+C17+C11</f>
        <v>2198.5527777</v>
      </c>
      <c r="E29" s="201">
        <f aca="true" t="shared" si="1" ref="E29:W29">+E24+E17+E11</f>
        <v>48.789999999999935</v>
      </c>
      <c r="F29" s="201">
        <f t="shared" si="1"/>
        <v>0.03999999999999915</v>
      </c>
      <c r="G29" s="201">
        <f t="shared" si="1"/>
        <v>1006.8699999999999</v>
      </c>
      <c r="H29" s="201">
        <f t="shared" si="1"/>
        <v>-0.8200000000000287</v>
      </c>
      <c r="I29" s="201">
        <f t="shared" si="1"/>
        <v>116.59</v>
      </c>
      <c r="J29" s="201">
        <f t="shared" si="1"/>
        <v>38.14</v>
      </c>
      <c r="K29" s="201">
        <f t="shared" si="1"/>
        <v>-0.17999999999999824</v>
      </c>
      <c r="L29" s="201">
        <f t="shared" si="1"/>
        <v>15.84</v>
      </c>
      <c r="M29" s="201">
        <f t="shared" si="1"/>
        <v>1.7999999999999943</v>
      </c>
      <c r="N29" s="201">
        <f t="shared" si="1"/>
        <v>-4.17</v>
      </c>
      <c r="O29" s="201">
        <f t="shared" si="1"/>
        <v>-11.22</v>
      </c>
      <c r="P29" s="201">
        <f t="shared" si="1"/>
        <v>-1.98</v>
      </c>
      <c r="Q29" s="201">
        <f t="shared" si="1"/>
        <v>-13.090000000000007</v>
      </c>
      <c r="R29" s="201">
        <f t="shared" si="1"/>
        <v>187.31</v>
      </c>
      <c r="S29" s="201">
        <f t="shared" si="1"/>
        <v>146.54</v>
      </c>
      <c r="T29" s="201">
        <f t="shared" si="1"/>
        <v>0</v>
      </c>
      <c r="U29" s="201">
        <f t="shared" si="1"/>
        <v>0</v>
      </c>
      <c r="V29" s="201">
        <f t="shared" si="1"/>
        <v>-599.77</v>
      </c>
      <c r="W29" s="201">
        <f t="shared" si="1"/>
        <v>3129.1527777000015</v>
      </c>
    </row>
  </sheetData>
  <sheetProtection/>
  <mergeCells count="8">
    <mergeCell ref="A21:A22"/>
    <mergeCell ref="B21:B22"/>
    <mergeCell ref="H2:AD2"/>
    <mergeCell ref="A3:W3"/>
    <mergeCell ref="A8:A9"/>
    <mergeCell ref="B8:B9"/>
    <mergeCell ref="A14:A15"/>
    <mergeCell ref="B14:B15"/>
  </mergeCells>
  <printOptions/>
  <pageMargins left="0.75" right="0.75" top="1" bottom="1" header="0.5" footer="0.5"/>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xyz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c:creator>
  <cp:keywords/>
  <dc:description/>
  <cp:lastModifiedBy>shashidhar</cp:lastModifiedBy>
  <cp:lastPrinted>2015-05-30T06:17:07Z</cp:lastPrinted>
  <dcterms:created xsi:type="dcterms:W3CDTF">2000-04-07T09:06:23Z</dcterms:created>
  <dcterms:modified xsi:type="dcterms:W3CDTF">2015-05-30T10:15:26Z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